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workbookProtection workbookAlgorithmName="SHA-512" workbookHashValue="N1yQx8+ZtGfzOREjT10irfNpmYFOB919PpUGIrEXV9ghvEZELaqyj8devYuie9WANpd8HD688SXuUFM3LVF8hg==" workbookSaltValue="t+rcCv3YeaJB38vws+Copw==" workbookSpinCount="100000" lockStructure="1"/>
  <bookViews>
    <workbookView windowWidth="27945" windowHeight="11850"/>
  </bookViews>
  <sheets>
    <sheet name="Лист1 " sheetId="3" r:id="rId1"/>
    <sheet name="Лист2" sheetId="2" r:id="rId2"/>
  </sheets>
  <externalReferences>
    <externalReference r:id="rId3"/>
  </externalReferences>
  <definedNames>
    <definedName name="_xlnm._FilterDatabase" localSheetId="0" hidden="1">'Лист1 '!$A$1:$L$1068</definedName>
    <definedName name="_xlnm.Print_Titles" localSheetId="0">'Лист1 '!$7:$7</definedName>
    <definedName name="_xlnm.Print_Titles" localSheetId="1">Лист2!$9:$9</definedName>
    <definedName name="_xlnm.Print_Area" localSheetId="0">'Лист1 '!$A$1:$L$1079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Автор</author>
  </authors>
  <commentList>
    <comment ref="B37" authorId="0">
      <text>
        <r>
          <rPr>
            <b/>
            <sz val="13"/>
            <rFont val="Tahoma"/>
            <charset val="204"/>
          </rPr>
          <t>Автор:</t>
        </r>
        <r>
          <rPr>
            <sz val="13"/>
            <rFont val="Tahoma"/>
            <charset val="204"/>
          </rPr>
          <t xml:space="preserve">
0110210500
квр 244
уо
</t>
        </r>
      </text>
    </comment>
    <comment ref="B48" authorId="0">
      <text>
        <r>
          <rPr>
            <b/>
            <sz val="9"/>
            <rFont val="Tahoma"/>
            <charset val="204"/>
          </rPr>
          <t>Автор:</t>
        </r>
        <r>
          <rPr>
            <sz val="9"/>
            <rFont val="Tahoma"/>
            <charset val="204"/>
          </rPr>
          <t xml:space="preserve">
011.50.10500.31
</t>
        </r>
      </text>
    </comment>
    <comment ref="B63" authorId="0">
      <text>
        <r>
          <rPr>
            <b/>
            <sz val="9"/>
            <rFont val="Tahoma"/>
            <charset val="204"/>
          </rPr>
          <t>Автор:</t>
        </r>
        <r>
          <rPr>
            <sz val="9"/>
            <rFont val="Tahoma"/>
            <charset val="204"/>
          </rPr>
          <t xml:space="preserve">
</t>
        </r>
        <r>
          <rPr>
            <sz val="11"/>
            <rFont val="Tahoma"/>
            <charset val="204"/>
          </rPr>
          <t>011.03.10500,27</t>
        </r>
      </text>
    </comment>
    <comment ref="B89" authorId="0">
      <text>
        <r>
          <rPr>
            <b/>
            <sz val="9"/>
            <rFont val="Tahoma"/>
            <charset val="204"/>
          </rPr>
          <t>Автор:</t>
        </r>
        <r>
          <rPr>
            <sz val="9"/>
            <rFont val="Tahoma"/>
            <charset val="204"/>
          </rPr>
          <t xml:space="preserve">
126.003.027
</t>
        </r>
      </text>
    </comment>
    <comment ref="G97" authorId="0">
      <text>
        <r>
          <rPr>
            <b/>
            <sz val="9"/>
            <rFont val="Tahoma"/>
            <charset val="204"/>
          </rPr>
          <t>8,2 снимаю по письму на сессию № 31-1885/25 от 08.08.25
Письмо о внесении изменений в ведомственную структуру</t>
        </r>
      </text>
    </comment>
    <comment ref="B100" authorId="0">
      <text>
        <r>
          <rPr>
            <b/>
            <sz val="9"/>
            <rFont val="Tahoma"/>
            <charset val="204"/>
          </rPr>
          <t>Автор:</t>
        </r>
        <r>
          <rPr>
            <sz val="9"/>
            <rFont val="Tahoma"/>
            <charset val="204"/>
          </rPr>
          <t xml:space="preserve">
124.003.012
011.51.60860,01
</t>
        </r>
      </text>
    </comment>
    <comment ref="B111" authorId="0">
      <text>
        <r>
          <rPr>
            <b/>
            <sz val="9"/>
            <rFont val="Tahoma"/>
            <charset val="204"/>
          </rPr>
          <t>Автор:</t>
        </r>
        <r>
          <rPr>
            <sz val="9"/>
            <rFont val="Tahoma"/>
            <charset val="204"/>
          </rPr>
          <t xml:space="preserve">
011.51.10500.42</t>
        </r>
      </text>
    </comment>
    <comment ref="B140" authorId="0">
      <text>
        <r>
          <rPr>
            <b/>
            <sz val="12"/>
            <rFont val="Tahoma"/>
            <charset val="204"/>
          </rPr>
          <t>Автор:</t>
        </r>
        <r>
          <rPr>
            <sz val="12"/>
            <rFont val="Tahoma"/>
            <charset val="204"/>
          </rPr>
          <t xml:space="preserve">
011.51.10500.48</t>
        </r>
      </text>
    </comment>
    <comment ref="B173" authorId="0">
      <text>
        <r>
          <rPr>
            <b/>
            <sz val="12"/>
            <rFont val="Calibri Light"/>
            <scheme val="major"/>
            <charset val="0"/>
          </rPr>
          <t>Автор:</t>
        </r>
        <r>
          <rPr>
            <sz val="12"/>
            <rFont val="Calibri Light"/>
            <scheme val="major"/>
            <charset val="0"/>
          </rPr>
          <t xml:space="preserve">
125.003.025
</t>
        </r>
      </text>
    </comment>
    <comment ref="B184" authorId="0">
      <text>
        <r>
          <rPr>
            <b/>
            <sz val="12"/>
            <rFont val="Tahoma"/>
            <charset val="204"/>
          </rPr>
          <t>Автор:</t>
        </r>
        <r>
          <rPr>
            <sz val="12"/>
            <rFont val="Tahoma"/>
            <charset val="204"/>
          </rPr>
          <t xml:space="preserve">
011.52.60860.01
124.003.013</t>
        </r>
      </text>
    </comment>
    <comment ref="B206" authorId="0">
      <text>
        <r>
          <rPr>
            <b/>
            <sz val="12"/>
            <rFont val="Tahoma"/>
            <charset val="204"/>
          </rPr>
          <t>Автор:</t>
        </r>
        <r>
          <rPr>
            <sz val="12"/>
            <rFont val="Tahoma"/>
            <charset val="204"/>
          </rPr>
          <t xml:space="preserve">
011.52.10500.35</t>
        </r>
      </text>
    </comment>
    <comment ref="B217" authorId="0">
      <text>
        <r>
          <rPr>
            <b/>
            <sz val="9"/>
            <rFont val="Tahoma"/>
            <charset val="204"/>
          </rPr>
          <t>Автор:</t>
        </r>
        <r>
          <rPr>
            <sz val="9"/>
            <rFont val="Tahoma"/>
            <charset val="204"/>
          </rPr>
          <t xml:space="preserve">
011.52.10500.12
</t>
        </r>
      </text>
    </comment>
    <comment ref="B228" authorId="0">
      <text>
        <r>
          <rPr>
            <b/>
            <sz val="11"/>
            <rFont val="Tahoma"/>
            <charset val="204"/>
          </rPr>
          <t>Автор:</t>
        </r>
        <r>
          <rPr>
            <sz val="11"/>
            <rFont val="Tahoma"/>
            <charset val="204"/>
          </rPr>
          <t xml:space="preserve">
011.52.10500.13</t>
        </r>
      </text>
    </comment>
    <comment ref="B272" authorId="0">
      <text>
        <r>
          <rPr>
            <b/>
            <sz val="11"/>
            <rFont val="Tahoma"/>
            <charset val="204"/>
          </rPr>
          <t>Автор:</t>
        </r>
        <r>
          <rPr>
            <sz val="11"/>
            <rFont val="Tahoma"/>
            <charset val="204"/>
          </rPr>
          <t xml:space="preserve">
ЦСР 0115300590</t>
        </r>
      </text>
    </comment>
    <comment ref="B283" authorId="0">
      <text>
        <r>
          <rPr>
            <b/>
            <sz val="9"/>
            <rFont val="Tahoma"/>
            <charset val="204"/>
          </rPr>
          <t xml:space="preserve">USER:ЦСР 
</t>
        </r>
        <r>
          <rPr>
            <b/>
            <sz val="11"/>
            <rFont val="Tahoma"/>
            <charset val="204"/>
          </rPr>
          <t>0115500590</t>
        </r>
      </text>
    </comment>
    <comment ref="B294" authorId="0">
      <text>
        <r>
          <rPr>
            <b/>
            <sz val="12"/>
            <rFont val="Tahoma"/>
            <charset val="204"/>
          </rPr>
          <t>Автор:</t>
        </r>
        <r>
          <rPr>
            <sz val="12"/>
            <rFont val="Tahoma"/>
            <charset val="204"/>
          </rPr>
          <t xml:space="preserve">
ЦСР 0115500590
ВР 614, 624</t>
        </r>
      </text>
    </comment>
    <comment ref="B310" authorId="0">
      <text>
        <r>
          <rPr>
            <b/>
            <sz val="12"/>
            <rFont val="Tahoma"/>
            <charset val="204"/>
          </rPr>
          <t>Автор:</t>
        </r>
        <r>
          <rPr>
            <sz val="12"/>
            <rFont val="Tahoma"/>
            <charset val="204"/>
          </rPr>
          <t xml:space="preserve">
011.53.10500.27</t>
        </r>
      </text>
    </comment>
    <comment ref="B332" authorId="0">
      <text>
        <r>
          <rPr>
            <b/>
            <sz val="12"/>
            <rFont val="Tahoma"/>
            <charset val="204"/>
          </rPr>
          <t>Автор:</t>
        </r>
        <r>
          <rPr>
            <sz val="12"/>
            <rFont val="Tahoma"/>
            <charset val="204"/>
          </rPr>
          <t xml:space="preserve">
011.53.20090.01</t>
        </r>
      </text>
    </comment>
    <comment ref="B343" authorId="0">
      <text>
        <r>
          <rPr>
            <b/>
            <sz val="12"/>
            <rFont val="Tahoma"/>
            <charset val="204"/>
          </rPr>
          <t>Автор:</t>
        </r>
        <r>
          <rPr>
            <sz val="12"/>
            <rFont val="Tahoma"/>
            <charset val="204"/>
          </rPr>
          <t xml:space="preserve">
0115500590</t>
        </r>
      </text>
    </comment>
    <comment ref="B365" authorId="0">
      <text>
        <r>
          <rPr>
            <b/>
            <sz val="12"/>
            <rFont val="Tahoma"/>
            <charset val="204"/>
          </rPr>
          <t>Автор:</t>
        </r>
        <r>
          <rPr>
            <sz val="12"/>
            <rFont val="Tahoma"/>
            <charset val="204"/>
          </rPr>
          <t xml:space="preserve">
ВР 811
0115162460
124.003.015</t>
        </r>
      </text>
    </comment>
    <comment ref="B376" authorId="0">
      <text>
        <r>
          <rPr>
            <b/>
            <sz val="11"/>
            <rFont val="Tahoma"/>
            <charset val="204"/>
          </rPr>
          <t>Автор:</t>
        </r>
        <r>
          <rPr>
            <sz val="11"/>
            <rFont val="Tahoma"/>
            <charset val="204"/>
          </rPr>
          <t xml:space="preserve">
126.003.035                             
011.51.60820.05
126.003.36
011.52.60820.15
126.003.037
011.53.60820.26</t>
        </r>
      </text>
    </comment>
    <comment ref="B387" authorId="0">
      <text>
        <r>
          <rPr>
            <b/>
            <sz val="11"/>
            <rFont val="Tahoma"/>
            <charset val="204"/>
          </rPr>
          <t>Автор:</t>
        </r>
        <r>
          <rPr>
            <sz val="11"/>
            <rFont val="Tahoma"/>
            <charset val="204"/>
          </rPr>
          <t xml:space="preserve">
1004 0115060710
125.003.028</t>
        </r>
      </text>
    </comment>
    <comment ref="B398" authorId="0">
      <text>
        <r>
          <rPr>
            <b/>
            <sz val="9"/>
            <rFont val="Tahoma"/>
            <charset val="204"/>
          </rPr>
          <t>Автор:</t>
        </r>
        <r>
          <rPr>
            <sz val="9"/>
            <rFont val="Tahoma"/>
            <charset val="204"/>
          </rPr>
          <t xml:space="preserve">
011.50.10500.29
</t>
        </r>
      </text>
    </comment>
    <comment ref="B409" authorId="0">
      <text>
        <r>
          <rPr>
            <b/>
            <sz val="12"/>
            <rFont val="Tahoma"/>
            <charset val="204"/>
          </rPr>
          <t>Автор:</t>
        </r>
        <r>
          <rPr>
            <sz val="12"/>
            <rFont val="Tahoma"/>
            <charset val="204"/>
          </rPr>
          <t xml:space="preserve">
011.50.10500.30</t>
        </r>
      </text>
    </comment>
    <comment ref="B420" authorId="0">
      <text>
        <r>
          <rPr>
            <b/>
            <sz val="12"/>
            <rFont val="Tahoma"/>
            <charset val="204"/>
          </rPr>
          <t>Автор:</t>
        </r>
        <r>
          <rPr>
            <sz val="12"/>
            <rFont val="Tahoma"/>
            <charset val="204"/>
          </rPr>
          <t xml:space="preserve">
011.50.10500.20</t>
        </r>
      </text>
    </comment>
    <comment ref="B442" authorId="0">
      <text>
        <r>
          <rPr>
            <b/>
            <sz val="11"/>
            <rFont val="Tahoma"/>
            <charset val="204"/>
          </rPr>
          <t>Автор:</t>
        </r>
        <r>
          <rPr>
            <sz val="11"/>
            <rFont val="Tahoma"/>
            <charset val="204"/>
          </rPr>
          <t xml:space="preserve">
123.003.013
011.52.62500.17</t>
        </r>
      </text>
    </comment>
    <comment ref="B453" authorId="0">
      <text>
        <r>
          <rPr>
            <b/>
            <sz val="12"/>
            <rFont val="Tahoma"/>
            <charset val="204"/>
          </rPr>
          <t>Автор:</t>
        </r>
        <r>
          <rPr>
            <sz val="12"/>
            <rFont val="Tahoma"/>
            <charset val="204"/>
          </rPr>
          <t xml:space="preserve">
011.52.09020.11</t>
        </r>
      </text>
    </comment>
    <comment ref="B464" authorId="0">
      <text>
        <r>
          <rPr>
            <b/>
            <sz val="11"/>
            <rFont val="Tahoma"/>
            <charset val="204"/>
          </rPr>
          <t>Автор:</t>
        </r>
        <r>
          <rPr>
            <sz val="11"/>
            <rFont val="Tahoma"/>
            <charset val="204"/>
          </rPr>
          <t xml:space="preserve">
011.Е250970.01
011.Е2.S0970.01
011.Е2.Д097001</t>
        </r>
      </text>
    </comment>
    <comment ref="B486" authorId="0">
      <text>
        <r>
          <rPr>
            <b/>
            <sz val="12"/>
            <rFont val="Tahoma"/>
            <charset val="204"/>
          </rPr>
          <t>Автор:</t>
        </r>
        <r>
          <rPr>
            <sz val="12"/>
            <rFont val="Tahoma"/>
            <charset val="204"/>
          </rPr>
          <t xml:space="preserve">
011.51.10500.04
011.52.10500.10
011.53.10500.25</t>
        </r>
      </text>
    </comment>
    <comment ref="B514" authorId="0">
      <text>
        <r>
          <rPr>
            <b/>
            <sz val="11"/>
            <rFont val="Tahoma"/>
            <charset val="204"/>
          </rPr>
          <t>Автор:</t>
        </r>
        <r>
          <rPr>
            <sz val="11"/>
            <rFont val="Tahoma"/>
            <charset val="204"/>
          </rPr>
          <t xml:space="preserve">
011.52.62370.16
125.003.031</t>
        </r>
      </text>
    </comment>
    <comment ref="B519" authorId="0">
      <text>
        <r>
          <rPr>
            <b/>
            <sz val="9"/>
            <rFont val="Tahoma"/>
            <charset val="204"/>
          </rPr>
          <t>Автор:</t>
        </r>
        <r>
          <rPr>
            <sz val="9"/>
            <rFont val="Tahoma"/>
            <charset val="204"/>
          </rPr>
          <t xml:space="preserve">
011.52.09020.09 для СОШ 37</t>
        </r>
      </text>
    </comment>
    <comment ref="B530" authorId="0">
      <text>
        <r>
          <rPr>
            <b/>
            <sz val="11"/>
            <rFont val="Tahoma"/>
            <charset val="204"/>
          </rPr>
          <t>Автор:</t>
        </r>
        <r>
          <rPr>
            <sz val="11"/>
            <rFont val="Tahoma"/>
            <charset val="204"/>
          </rPr>
          <t xml:space="preserve">
011.52.09020.09
011.51.09020.02
011.53.09020.34</t>
        </r>
      </text>
    </comment>
    <comment ref="B563" authorId="0">
      <text>
        <r>
          <rPr>
            <b/>
            <sz val="11"/>
            <rFont val="Tahoma"/>
            <charset val="204"/>
          </rPr>
          <t>Автор:</t>
        </r>
        <r>
          <rPr>
            <sz val="11"/>
            <rFont val="Tahoma"/>
            <charset val="204"/>
          </rPr>
          <t xml:space="preserve">
011.51.62980.02
011.52.62980.01
011.53.60980.03</t>
        </r>
      </text>
    </comment>
    <comment ref="B574" authorId="0">
      <text>
        <r>
          <rPr>
            <b/>
            <sz val="12"/>
            <rFont val="Tahoma"/>
            <charset val="204"/>
          </rPr>
          <t>Автор:</t>
        </r>
        <r>
          <rPr>
            <sz val="12"/>
            <rFont val="Tahoma"/>
            <charset val="204"/>
          </rPr>
          <t xml:space="preserve">
011.54.10500.07
011.54.09020.08
011.54.09020.09(для сош43)</t>
        </r>
      </text>
    </comment>
    <comment ref="B585" authorId="0">
      <text>
        <r>
          <rPr>
            <b/>
            <sz val="12"/>
            <rFont val="Tahoma"/>
            <charset val="204"/>
          </rPr>
          <t>Автор:</t>
        </r>
        <r>
          <rPr>
            <sz val="12"/>
            <rFont val="Tahoma"/>
            <charset val="204"/>
          </rPr>
          <t xml:space="preserve">
011.50.10500.32</t>
        </r>
      </text>
    </comment>
    <comment ref="B640" authorId="0">
      <text>
        <r>
          <rPr>
            <b/>
            <sz val="12"/>
            <rFont val="Tahoma"/>
            <charset val="204"/>
          </rPr>
          <t>Автор:</t>
        </r>
        <r>
          <rPr>
            <sz val="12"/>
            <rFont val="Tahoma"/>
            <charset val="204"/>
          </rPr>
          <t xml:space="preserve">
11.51.S3410.01
124.002.023</t>
        </r>
      </text>
    </comment>
    <comment ref="B646" authorId="0">
      <text>
        <r>
          <rPr>
            <b/>
            <sz val="11"/>
            <rFont val="Tahoma"/>
            <charset val="204"/>
          </rPr>
          <t>Автор:</t>
        </r>
        <r>
          <rPr>
            <sz val="11"/>
            <rFont val="Tahoma"/>
            <charset val="204"/>
          </rPr>
          <t xml:space="preserve">
011.52.S0100.01</t>
        </r>
      </text>
    </comment>
    <comment ref="B728" authorId="0">
      <text>
        <r>
          <rPr>
            <b/>
            <sz val="12"/>
            <rFont val="Tahoma"/>
            <charset val="204"/>
          </rPr>
          <t>Автор:</t>
        </r>
        <r>
          <rPr>
            <sz val="12"/>
            <rFont val="Tahoma"/>
            <charset val="204"/>
          </rPr>
          <t xml:space="preserve">
011.52L3042.01</t>
        </r>
      </text>
    </comment>
    <comment ref="B739" authorId="0">
      <text>
        <r>
          <rPr>
            <b/>
            <sz val="11"/>
            <rFont val="Tahoma"/>
            <charset val="204"/>
          </rPr>
          <t>Автор:</t>
        </r>
        <r>
          <rPr>
            <sz val="11"/>
            <rFont val="Tahoma"/>
            <charset val="204"/>
          </rPr>
          <t xml:space="preserve">
26-53032-00000-00000
011.Ю6.53032.01</t>
        </r>
      </text>
    </comment>
    <comment ref="B761" authorId="0">
      <text>
        <r>
          <rPr>
            <b/>
            <sz val="10"/>
            <rFont val="Tahoma"/>
            <charset val="204"/>
          </rPr>
          <t>Автор:</t>
        </r>
        <r>
          <rPr>
            <sz val="10"/>
            <rFont val="Tahoma"/>
            <charset val="204"/>
          </rPr>
          <t xml:space="preserve">
011.51.10500.39
011.52.10500.44</t>
        </r>
      </text>
    </comment>
    <comment ref="B772" authorId="0">
      <text>
        <r>
          <rPr>
            <b/>
            <sz val="11"/>
            <rFont val="Tahoma"/>
            <charset val="204"/>
          </rPr>
          <t>Автор:</t>
        </r>
        <r>
          <rPr>
            <sz val="11"/>
            <rFont val="Tahoma"/>
            <charset val="204"/>
          </rPr>
          <t xml:space="preserve">
011.51.10500.45</t>
        </r>
        <r>
          <rPr>
            <sz val="9"/>
            <rFont val="Tahoma"/>
            <charset val="204"/>
          </rPr>
          <t xml:space="preserve">
</t>
        </r>
      </text>
    </comment>
    <comment ref="B789" authorId="0">
      <text>
        <r>
          <rPr>
            <b/>
            <sz val="11"/>
            <rFont val="Tahoma"/>
            <charset val="204"/>
          </rPr>
          <t>Автор:</t>
        </r>
        <r>
          <rPr>
            <sz val="11"/>
            <rFont val="Tahoma"/>
            <charset val="204"/>
          </rPr>
          <t xml:space="preserve">
011.52.10500.38</t>
        </r>
      </text>
    </comment>
    <comment ref="B794" authorId="0">
      <text>
        <r>
          <rPr>
            <b/>
            <sz val="11"/>
            <rFont val="Tahoma"/>
            <charset val="204"/>
          </rPr>
          <t>Автор:</t>
        </r>
        <r>
          <rPr>
            <sz val="11"/>
            <rFont val="Tahoma"/>
            <charset val="204"/>
          </rPr>
          <t xml:space="preserve">
011.52.10500.43</t>
        </r>
      </text>
    </comment>
    <comment ref="B805" authorId="0">
      <text>
        <r>
          <rPr>
            <b/>
            <sz val="11"/>
            <rFont val="Tahoma"/>
            <charset val="204"/>
          </rPr>
          <t>Автор:</t>
        </r>
        <r>
          <rPr>
            <sz val="11"/>
            <rFont val="Tahoma"/>
            <charset val="204"/>
          </rPr>
          <t xml:space="preserve">
011.52.63540.01</t>
        </r>
      </text>
    </comment>
    <comment ref="B822" authorId="0">
      <text>
        <r>
          <rPr>
            <b/>
            <sz val="11"/>
            <rFont val="Tahoma"/>
            <charset val="204"/>
          </rPr>
          <t>Автор:</t>
        </r>
        <r>
          <rPr>
            <sz val="11"/>
            <rFont val="Tahoma"/>
            <charset val="204"/>
          </rPr>
          <t xml:space="preserve">
011.52.S3550.01
125.002.040</t>
        </r>
      </text>
    </comment>
    <comment ref="B827" authorId="0">
      <text>
        <r>
          <rPr>
            <b/>
            <sz val="11"/>
            <rFont val="Tahoma"/>
            <charset val="204"/>
          </rPr>
          <t>Автор:</t>
        </r>
        <r>
          <rPr>
            <sz val="11"/>
            <rFont val="Tahoma"/>
            <charset val="204"/>
          </rPr>
          <t xml:space="preserve">
011.EB.51790.01</t>
        </r>
      </text>
    </comment>
    <comment ref="B834" authorId="0">
      <text>
        <r>
          <rPr>
            <b/>
            <sz val="9"/>
            <rFont val="Tahoma"/>
            <charset val="1"/>
          </rPr>
          <t>Автор:</t>
        </r>
        <r>
          <rPr>
            <sz val="9"/>
            <rFont val="Tahoma"/>
            <charset val="1"/>
          </rPr>
          <t xml:space="preserve">
011.51.Ю6.51790</t>
        </r>
      </text>
    </comment>
    <comment ref="B838" authorId="0">
      <text>
        <r>
          <rPr>
            <b/>
            <sz val="11"/>
            <rFont val="Tahoma"/>
            <charset val="204"/>
          </rPr>
          <t>Автор:</t>
        </r>
        <r>
          <rPr>
            <sz val="11"/>
            <rFont val="Tahoma"/>
            <charset val="204"/>
          </rPr>
          <t xml:space="preserve">
011.52.L7500.01</t>
        </r>
      </text>
    </comment>
    <comment ref="B849" authorId="0">
      <text>
        <r>
          <rPr>
            <b/>
            <sz val="11"/>
            <rFont val="Tahoma"/>
            <charset val="204"/>
          </rPr>
          <t>Автор:</t>
        </r>
        <r>
          <rPr>
            <sz val="11"/>
            <rFont val="Tahoma"/>
            <charset val="204"/>
          </rPr>
          <t xml:space="preserve">
011.ЕВ57860.01</t>
        </r>
      </text>
    </comment>
    <comment ref="B860" authorId="0">
      <text>
        <r>
          <rPr>
            <b/>
            <sz val="11"/>
            <rFont val="Tahoma"/>
            <charset val="204"/>
          </rPr>
          <t>Автор:</t>
        </r>
        <r>
          <rPr>
            <sz val="11"/>
            <rFont val="Tahoma"/>
            <charset val="204"/>
          </rPr>
          <t xml:space="preserve">
011.52.10500.45</t>
        </r>
      </text>
    </comment>
    <comment ref="B871" authorId="0">
      <text>
        <r>
          <rPr>
            <b/>
            <sz val="11"/>
            <rFont val="Tahoma"/>
            <charset val="204"/>
          </rPr>
          <t>Автор:</t>
        </r>
        <r>
          <rPr>
            <sz val="11"/>
            <rFont val="Tahoma"/>
            <charset val="204"/>
          </rPr>
          <t xml:space="preserve">
011.52.10500.46</t>
        </r>
      </text>
    </comment>
    <comment ref="B882" authorId="0">
      <text>
        <r>
          <rPr>
            <b/>
            <sz val="11"/>
            <rFont val="Tahoma"/>
            <charset val="204"/>
          </rPr>
          <t>Автор:</t>
        </r>
        <r>
          <rPr>
            <sz val="11"/>
            <rFont val="Tahoma"/>
            <charset val="204"/>
          </rPr>
          <t xml:space="preserve">
ЦСР 011Е164800</t>
        </r>
      </text>
    </comment>
    <comment ref="B893" authorId="0">
      <text>
        <r>
          <rPr>
            <b/>
            <sz val="12"/>
            <rFont val="Tahoma"/>
            <charset val="204"/>
          </rPr>
          <t>Автор:</t>
        </r>
        <r>
          <rPr>
            <sz val="12"/>
            <rFont val="Tahoma"/>
            <charset val="204"/>
          </rPr>
          <t xml:space="preserve">
ЦСР 011Е164800
011.52.10500.47</t>
        </r>
      </text>
    </comment>
    <comment ref="B904" authorId="0">
      <text>
        <r>
          <rPr>
            <b/>
            <sz val="12"/>
            <rFont val="Tahoma"/>
            <charset val="204"/>
          </rPr>
          <t>Автор:</t>
        </r>
        <r>
          <rPr>
            <sz val="12"/>
            <rFont val="Tahoma"/>
            <charset val="204"/>
          </rPr>
          <t xml:space="preserve">
ЦСР 011Е164800
011.52.10500.48</t>
        </r>
      </text>
    </comment>
    <comment ref="B915" authorId="0">
      <text>
        <r>
          <rPr>
            <b/>
            <sz val="11"/>
            <rFont val="Tahoma"/>
            <charset val="204"/>
          </rPr>
          <t>Автор:</t>
        </r>
        <r>
          <rPr>
            <sz val="11"/>
            <rFont val="Tahoma"/>
            <charset val="204"/>
          </rPr>
          <t xml:space="preserve">
ЦСР 0115020230
1003 0115020230(313)</t>
        </r>
      </text>
    </comment>
    <comment ref="B926" authorId="0">
      <text>
        <r>
          <rPr>
            <b/>
            <sz val="11"/>
            <rFont val="Tahoma"/>
            <charset val="204"/>
          </rPr>
          <t>Автор:</t>
        </r>
        <r>
          <rPr>
            <sz val="11"/>
            <rFont val="Tahoma"/>
            <charset val="204"/>
          </rPr>
          <t xml:space="preserve">
011.51.10500.47
011.52.10500.41</t>
        </r>
      </text>
    </comment>
    <comment ref="B937" authorId="0">
      <text>
        <r>
          <rPr>
            <b/>
            <sz val="12"/>
            <rFont val="Tahoma"/>
            <charset val="204"/>
          </rPr>
          <t>Автор:</t>
        </r>
        <r>
          <rPr>
            <sz val="12"/>
            <rFont val="Tahoma"/>
            <charset val="204"/>
          </rPr>
          <t xml:space="preserve">
011.52.S3550.01</t>
        </r>
      </text>
    </comment>
    <comment ref="B948" authorId="0">
      <text>
        <r>
          <rPr>
            <b/>
            <sz val="11"/>
            <rFont val="Tahoma"/>
            <charset val="204"/>
          </rPr>
          <t>Автор:</t>
        </r>
        <r>
          <rPr>
            <sz val="11"/>
            <rFont val="Tahoma"/>
            <charset val="204"/>
          </rPr>
          <t xml:space="preserve">
011.EB.51790.01</t>
        </r>
      </text>
    </comment>
    <comment ref="B959" authorId="0">
      <text>
        <r>
          <rPr>
            <b/>
            <sz val="12"/>
            <rFont val="Tahoma"/>
            <charset val="204"/>
          </rPr>
          <t>Автор:</t>
        </r>
        <r>
          <rPr>
            <sz val="12"/>
            <rFont val="Tahoma"/>
            <charset val="204"/>
          </rPr>
          <t xml:space="preserve">
011.EB57860.01</t>
        </r>
      </text>
    </comment>
    <comment ref="B970" authorId="0">
      <text>
        <r>
          <rPr>
            <b/>
            <sz val="11"/>
            <rFont val="Tahoma"/>
            <charset val="204"/>
          </rPr>
          <t>Автор:</t>
        </r>
        <r>
          <rPr>
            <sz val="11"/>
            <rFont val="Tahoma"/>
            <charset val="204"/>
          </rPr>
          <t xml:space="preserve">
011.51.S3410.01</t>
        </r>
      </text>
    </comment>
    <comment ref="B981" authorId="0">
      <text>
        <r>
          <rPr>
            <b/>
            <sz val="9"/>
            <rFont val="Tahoma"/>
            <charset val="204"/>
          </rPr>
          <t>Автор:
011.50.20290.00</t>
        </r>
      </text>
    </comment>
    <comment ref="B992" authorId="0">
      <text>
        <r>
          <rPr>
            <b/>
            <sz val="9"/>
            <rFont val="Tahoma"/>
            <charset val="204"/>
          </rPr>
          <t>Автор:</t>
        </r>
        <r>
          <rPr>
            <sz val="9"/>
            <rFont val="Tahoma"/>
            <charset val="204"/>
          </rPr>
          <t xml:space="preserve">
011.52.S0100.01
125.002.051</t>
        </r>
      </text>
    </comment>
    <comment ref="B1003" authorId="0">
      <text>
        <r>
          <rPr>
            <b/>
            <sz val="13"/>
            <rFont val="Tahoma"/>
            <charset val="204"/>
          </rPr>
          <t>Автор:
011.Ю6.50500.01</t>
        </r>
      </text>
    </comment>
    <comment ref="B1014" authorId="0">
      <text>
        <r>
          <rPr>
            <b/>
            <sz val="9"/>
            <rFont val="Tahoma"/>
            <charset val="204"/>
          </rPr>
          <t>Автор:</t>
        </r>
        <r>
          <rPr>
            <sz val="9"/>
            <rFont val="Tahoma"/>
            <charset val="204"/>
          </rPr>
          <t xml:space="preserve">
011.50.10500.33</t>
        </r>
      </text>
    </comment>
    <comment ref="B1019" authorId="0">
      <text>
        <r>
          <rPr>
            <sz val="9"/>
            <rFont val="Tahoma"/>
            <charset val="204"/>
          </rPr>
          <t xml:space="preserve">
07020110010820.612
011.00.10820.01</t>
        </r>
      </text>
    </comment>
    <comment ref="B1026" authorId="0">
      <text>
        <r>
          <rPr>
            <b/>
            <sz val="9"/>
            <rFont val="Tahoma"/>
            <charset val="1"/>
          </rPr>
          <t>Автор:</t>
        </r>
        <r>
          <rPr>
            <sz val="9"/>
            <rFont val="Tahoma"/>
            <charset val="1"/>
          </rPr>
          <t xml:space="preserve">
011.52.10500.71</t>
        </r>
      </text>
    </comment>
    <comment ref="B1034" authorId="0">
      <text>
        <r>
          <rPr>
            <b/>
            <sz val="12"/>
            <rFont val="Tahoma"/>
            <charset val="204"/>
          </rPr>
          <t>Автор:</t>
        </r>
        <r>
          <rPr>
            <sz val="12"/>
            <rFont val="Tahoma"/>
            <charset val="204"/>
          </rPr>
          <t xml:space="preserve">
ЦБ 925.01.009
ИМЦ 925.01.125
ПМПК 925.01.159</t>
        </r>
      </text>
    </comment>
    <comment ref="B1045" authorId="0">
      <text>
        <r>
          <rPr>
            <b/>
            <sz val="11"/>
            <rFont val="Tahoma"/>
            <charset val="204"/>
          </rPr>
          <t>Автор:</t>
        </r>
        <r>
          <rPr>
            <sz val="11"/>
            <rFont val="Tahoma"/>
            <charset val="204"/>
          </rPr>
          <t xml:space="preserve">
УО
ЦСР КБ 0110660860
МБ 0110600190</t>
        </r>
      </text>
    </comment>
  </commentList>
</comments>
</file>

<file path=xl/sharedStrings.xml><?xml version="1.0" encoding="utf-8"?>
<sst xmlns="http://schemas.openxmlformats.org/spreadsheetml/2006/main" count="614" uniqueCount="497">
  <si>
    <t>Перечень основных мероприятий муниципальной программы " Развитие образования"  на 2018-2028 годы"</t>
  </si>
  <si>
    <t>Приложение №2</t>
  </si>
  <si>
    <t>к муниципальной программе</t>
  </si>
  <si>
    <t>"Развитие образования" на 2018-2028 годы"</t>
  </si>
  <si>
    <t>№ п/п</t>
  </si>
  <si>
    <t>Наименование мероприятия</t>
  </si>
  <si>
    <t>Год реализации</t>
  </si>
  <si>
    <t>Объем финансирова-ния, всего тыс.руб.</t>
  </si>
  <si>
    <t>Источник финансирования, тыс.руб.</t>
  </si>
  <si>
    <t>Непосредственный результат реализации мероприятий</t>
  </si>
  <si>
    <t>Муниципальный заказчик  мероприрятия, получатель субсидий(субвенций), ответственный за выполнение мероприятий, исполнитель</t>
  </si>
  <si>
    <t>Федеральный бюджет</t>
  </si>
  <si>
    <t>Бюджет Краснодарс- кого края</t>
  </si>
  <si>
    <t>Местный бюджет</t>
  </si>
  <si>
    <t>В том числе, обеспече-ние условия предоставления субсидии</t>
  </si>
  <si>
    <t>Внебюджетные средства</t>
  </si>
  <si>
    <t>1.</t>
  </si>
  <si>
    <t>Цель: Формирование условий для повышения качества, доступности, устойчивого функционирования и развития системы образования Северского района</t>
  </si>
  <si>
    <t>Задача: Создание условий для введения новых федеральных государственных образовательных стандартов</t>
  </si>
  <si>
    <t>1. Создание условий для обеспечения инновационного характера образования</t>
  </si>
  <si>
    <t>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</si>
  <si>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</si>
  <si>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Приобретение автобусов и микроавтобусов для муниципальных образовательных организаций</t>
  </si>
  <si>
    <t>Администрация
муниципального образования
Северский муниципальный
район Краснодарского края,        Министерство образования и науки  Краснодарского края, образовательные организации</t>
  </si>
  <si>
    <t>1.2</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</si>
  <si>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</si>
  <si>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Приобретение автобусов и микроавтобусов для обеспечения подвоза учащихся</t>
  </si>
  <si>
    <t>ИТОГО</t>
  </si>
  <si>
    <t>2.</t>
  </si>
  <si>
    <t>Цель: 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</si>
  <si>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Задача: 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</si>
  <si>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2.Модернизация образования как института воспитания и социального развития</t>
  </si>
  <si>
    <t>2.1</t>
  </si>
  <si>
    <t>Организация мероприятий, направленных на повышение престижа отрасли</t>
  </si>
  <si>
    <t>Повышение престижа</t>
  </si>
  <si>
    <t>Администрация
муниципального образования
Северский муниципальный
район Краснодарского края, управление образования, образовательные организации</t>
  </si>
  <si>
    <t>925 0701 0115100590 611 000</t>
  </si>
  <si>
    <t>п.4.1</t>
  </si>
  <si>
    <t>925 0701 0115100590 621 000</t>
  </si>
  <si>
    <t>925 0701 0115109020 612 000</t>
  </si>
  <si>
    <t>п.4.19; 4.20</t>
  </si>
  <si>
    <t>925 0701 0115109020 622 000</t>
  </si>
  <si>
    <t>2.2</t>
  </si>
  <si>
    <t xml:space="preserve">Предоставление субсидий на мероприятия по патриотическому воспитанию граждан </t>
  </si>
  <si>
    <t>Обеспечение проведения учебных сборов учащихся (юношей) 10-х классов</t>
  </si>
  <si>
    <t>925 0701 0115110500 612 000</t>
  </si>
  <si>
    <t>п. 4.1;4.16; 4.40</t>
  </si>
  <si>
    <t>925 0701 0115110500 622 000</t>
  </si>
  <si>
    <t>925 0701 0115160820 612 000</t>
  </si>
  <si>
    <t>п.4.6</t>
  </si>
  <si>
    <t>925 0701 0115160820 622 000</t>
  </si>
  <si>
    <t>925 0701 0115160860 611 000</t>
  </si>
  <si>
    <t>925 0701 0115160860 612 000</t>
  </si>
  <si>
    <t>925 0701 0115160860 621 000</t>
  </si>
  <si>
    <t>925 0701 0115160860 622 000</t>
  </si>
  <si>
    <t>925 0701 0115162460 811 000</t>
  </si>
  <si>
    <t>п.4.5</t>
  </si>
  <si>
    <t>925 0701 0115409020 612 000</t>
  </si>
  <si>
    <t>п. 4.24</t>
  </si>
  <si>
    <t>925 0701 0115410500 612 000</t>
  </si>
  <si>
    <t>3.</t>
  </si>
  <si>
    <t>Цель: 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</si>
  <si>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925 0702 0110010820 612 000</t>
  </si>
  <si>
    <t>п.4.64</t>
  </si>
  <si>
    <t>Задача: Обеспечение системы образования Северского района высококвалифицированными кадрами, повышение их социального и профессионального уровня</t>
  </si>
  <si>
    <t>925 0702 0115200590 611 000</t>
  </si>
  <si>
    <t>п. 4.2</t>
  </si>
  <si>
    <t>3. Повышение социального и профессионального уровня работников образования, формирование современной системы непрерывного образования</t>
  </si>
  <si>
    <t>925 0702 0115200590 621 000</t>
  </si>
  <si>
    <t>3.1</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</si>
  <si>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</si>
  <si>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Проведение, участие в конкурсах, семинарах, выставках, совещаниях, форумах, профессиональных праздниках и др.</t>
  </si>
  <si>
    <t>925 0702 0115209020 612 000</t>
  </si>
  <si>
    <t>925 0702 0115209020 622 000</t>
  </si>
  <si>
    <t>925 0702 0115210500 612 000</t>
  </si>
  <si>
    <t>п. 4.16; 4.42; 4.43; 4,2; 4,53</t>
  </si>
  <si>
    <t>925 0702 0115210500 622 000</t>
  </si>
  <si>
    <t>925 0702 0115260820 612 000</t>
  </si>
  <si>
    <t>925 0702 0115260820 622 000</t>
  </si>
  <si>
    <t>925 0702 0115260860 611 000</t>
  </si>
  <si>
    <t>925 0702 0115260860 612 000</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</si>
  <si>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 в том числе предоставление субсидий образовательным организациям</t>
  </si>
  <si>
    <t>925 0702 0115260860 621 000</t>
  </si>
  <si>
    <t>925 0702 0115260860 622 000</t>
  </si>
  <si>
    <t>925 0702 0115262370 612 000</t>
  </si>
  <si>
    <t>п.4.18</t>
  </si>
  <si>
    <t>4.</t>
  </si>
  <si>
    <t>Цель: 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</si>
  <si>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925 0702 0115262370 622 000</t>
  </si>
  <si>
    <t>Задача: 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</si>
  <si>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925 0702 0115262500 612 000</t>
  </si>
  <si>
    <t>п. 4.12</t>
  </si>
  <si>
    <t>4. Финансовое обеспечение деятельности образовательных организаций</t>
  </si>
  <si>
    <t>925 0702 0115262500 622 000</t>
  </si>
  <si>
    <t>4.1</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</si>
  <si>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</si>
  <si>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</si>
  <si>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925 0702 0115263540 612 000</t>
  </si>
  <si>
    <t>п. 4.44</t>
  </si>
  <si>
    <t>925 0702 0115263540 622 000</t>
  </si>
  <si>
    <t>925 0702 01152L3042 612 000</t>
  </si>
  <si>
    <t>п. 4.37</t>
  </si>
  <si>
    <t>925 0702 01152L3042 622 000</t>
  </si>
  <si>
    <t>925 0702 01152S0100 612 000</t>
  </si>
  <si>
    <t>п.4.30</t>
  </si>
  <si>
    <t>925 0702 01152S3550 612 000</t>
  </si>
  <si>
    <t>п. 4.45</t>
  </si>
  <si>
    <t>925 0702 01152S3550 622 000</t>
  </si>
  <si>
    <t>925 0702 0115409020 612 000</t>
  </si>
  <si>
    <t>925 0702 0115410500 612 000</t>
  </si>
  <si>
    <t>925 0702 011Ю651790 612 000</t>
  </si>
  <si>
    <t>п. 4.46</t>
  </si>
  <si>
    <t>в том числе:
расходы на обеспечение деятельности муниципальных учреждений (муниципальное задание);</t>
  </si>
  <si>
    <t>925 0702 011Ю651790 622 000</t>
  </si>
  <si>
    <t>925 0702 011Ю653032 612 000</t>
  </si>
  <si>
    <t>п4.38</t>
  </si>
  <si>
    <t>925 0702 011Ю653032 622 000</t>
  </si>
  <si>
    <t>925 0703 0115300590 611 000</t>
  </si>
  <si>
    <t>п. 4.3</t>
  </si>
  <si>
    <t>925 0703 0115300590 614 000</t>
  </si>
  <si>
    <t>925 0703 0115300590 621 000</t>
  </si>
  <si>
    <t>925 0703 0115300590 624 000</t>
  </si>
  <si>
    <t>925 0703 0115310500 612 000</t>
  </si>
  <si>
    <t>???</t>
  </si>
  <si>
    <t>925 0703 0115360820 612 000</t>
  </si>
  <si>
    <t>925 0703 0115360820 622 000</t>
  </si>
  <si>
    <t>на иные цели:
-осуществление иных выплат (доплат)</t>
  </si>
  <si>
    <t>925 0703 0115500590 614 000</t>
  </si>
  <si>
    <t>925 0703 0115500590 615 000</t>
  </si>
  <si>
    <t>925 0703 0115500590 624 000</t>
  </si>
  <si>
    <t>925 0703 0115500590 625 000</t>
  </si>
  <si>
    <t>925 0703 0115500590 635 000</t>
  </si>
  <si>
    <t>925 0703 0115500590 816 000</t>
  </si>
  <si>
    <t>925 0705 0110310500 612 000</t>
  </si>
  <si>
    <t>925 0705 0110310500 622 000</t>
  </si>
  <si>
    <t>п.3.1</t>
  </si>
  <si>
    <t>925 0709 0110210500 244 000</t>
  </si>
  <si>
    <t>п.2.1</t>
  </si>
  <si>
    <t>925 0709 0110600190 121 000</t>
  </si>
  <si>
    <t xml:space="preserve">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</si>
  <si>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925 0709 0110600190 129 000</t>
  </si>
  <si>
    <t>925 0709 0110600190 244 000</t>
  </si>
  <si>
    <t>925 0709 0110600590 111 000</t>
  </si>
  <si>
    <t>925 0709 0110600590 119 000</t>
  </si>
  <si>
    <t>925 0709 0110600590 244 000</t>
  </si>
  <si>
    <t>925 0709 0110600590 247 000</t>
  </si>
  <si>
    <t>925 0709 0110600590 852 000</t>
  </si>
  <si>
    <t>925 0709 0110600590 853 000</t>
  </si>
  <si>
    <t>925 0709 0110660860 111 000</t>
  </si>
  <si>
    <t>925 0709 0110660860 119 000</t>
  </si>
  <si>
    <t>реализация мероприятий в области образования (обеспечение льготным питанием)</t>
  </si>
  <si>
    <t>925 0709 0110660860 121 000</t>
  </si>
  <si>
    <t>925 0709 0110660860 129 000</t>
  </si>
  <si>
    <t>925 0709 0110660860 244 000</t>
  </si>
  <si>
    <t>925 0709 0115010500 612 000</t>
  </si>
  <si>
    <t>п.2.2; 4.8;4.9; 4.10; 4,25</t>
  </si>
  <si>
    <t>925 0709 0115010500 622 000</t>
  </si>
  <si>
    <t>925 0709 011Ю650500 612 000</t>
  </si>
  <si>
    <t>п.4.62</t>
  </si>
  <si>
    <t>925 0709 011Ю650500 622 000</t>
  </si>
  <si>
    <t>925 1003 0115020230 313 000</t>
  </si>
  <si>
    <t>п. 4.54</t>
  </si>
  <si>
    <t>925 1004 0115060710 244 000</t>
  </si>
  <si>
    <t>п.4.7</t>
  </si>
  <si>
    <t xml:space="preserve"> ввод в эксплуатацию объектов</t>
  </si>
  <si>
    <t>925 1004 0115060710 323 000</t>
  </si>
  <si>
    <t>925 1101 0115500590 614 000</t>
  </si>
  <si>
    <t>925 1103 0115300590 611 000</t>
  </si>
  <si>
    <t>925 1103 0115309020 612 000</t>
  </si>
  <si>
    <t>925 1103 0115310500 612 000</t>
  </si>
  <si>
    <t>п.4.16</t>
  </si>
  <si>
    <t>925 1103 0115320090 612 000</t>
  </si>
  <si>
    <t>п.4.3</t>
  </si>
  <si>
    <t>925 1103 0115360820 612 000</t>
  </si>
  <si>
    <t>приобретение ГСМ для осуществления поездок, не включенных в расчет нормативных затрат на оказание муниципальных услуг(выполнение работ)</t>
  </si>
  <si>
    <t>ДОУ</t>
  </si>
  <si>
    <t>СОШ</t>
  </si>
  <si>
    <t>ДОПы</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</si>
  <si>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</si>
  <si>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</si>
  <si>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</si>
  <si>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</si>
  <si>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в том числе:
расходы на обеспечение деятельности муниципальных учреждений, (муниципальное задание);</t>
  </si>
  <si>
    <t>на иные цели:                                                                                        - осуществление иных выплат (доплат)</t>
  </si>
  <si>
    <t xml:space="preserve">
-подвоз учащихся, в т.ч. ГСМ;</t>
  </si>
  <si>
    <t>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</si>
  <si>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 xml:space="preserve">реализация мероприятий в области образования  в том числе:
-организация питания обучающихся общеобразовательных организаций муниципального образования Северский район
</t>
  </si>
  <si>
    <t xml:space="preserve"> обеспечение льготным питанием в дошкольных группах</t>
  </si>
  <si>
    <t xml:space="preserve">ввод в эксплуатацию объектов
</t>
  </si>
  <si>
    <t>прочие расходы:
- родительская плата за питание обучающихся, оплата за услуги по присмотру и уходу за детьми в группах продленного дня в муниципальных общеобразовательных организациях</t>
  </si>
  <si>
    <t>4.3</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</si>
  <si>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
</t>
  </si>
  <si>
    <t>Обеспечение государственных гарантий реализации прав на получение дополнительного образования детей</t>
  </si>
  <si>
    <t>1) расходы на обеспечение деятельности муниципальных учреждений, (муниципальное задание);</t>
  </si>
  <si>
    <t>в том числе:
- обеспечение  функционирования системы персонифицированного финансирования дополнительного образования детей</t>
  </si>
  <si>
    <t>муниципальный социальный заказ на оказание муниципальных услуг в социальной сфере</t>
  </si>
  <si>
    <t>обеспечение функционирования модели персонифицированного финансировния дополнительного образования детей</t>
  </si>
  <si>
    <t>2) на иные цели: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</si>
  <si>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 xml:space="preserve">3) на иные цели: 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</si>
  <si>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4) на иные цели:проведение медицинских осмотров лиц, занимающихся физической культурой и спортом.</t>
  </si>
  <si>
    <t>5) Предоставление грантов в форме субсидий в части персонифицированного финансирования,                           социального заказа</t>
  </si>
  <si>
    <t>В соответствии с нормативно-правовыми актами</t>
  </si>
  <si>
    <t>4.4</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</si>
  <si>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</si>
  <si>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</si>
  <si>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t>
  </si>
  <si>
    <t>4.5</t>
  </si>
  <si>
    <t>Предоставление субсидий на финансовое обеспечение получения дошкольного образования в частных дошкольных образовательных организациях (у индивидуальных предпринимателей), включающим расходы на предоставление указанным образовательным организациям (индивидуальным предпринимателям)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</si>
  <si>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4.6</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</si>
  <si>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</si>
  <si>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</si>
  <si>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 образовательные организации</t>
  </si>
  <si>
    <t>4.7</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</si>
  <si>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</si>
  <si>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</si>
  <si>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4.8</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</si>
  <si>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</si>
  <si>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</si>
  <si>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 xml:space="preserve">Администрация
муниципального образования
Северский муниципальный
район Краснодарского края, управление образования, образовательные организации
</t>
  </si>
  <si>
    <t>Предоставление субсидий образовательным организациям на подготовительные работы к открытию лагерей с дневным пребыванием, организованных муниципальными общеобразовательными организациями</t>
  </si>
  <si>
    <t>4.9</t>
  </si>
  <si>
    <t>Предоставление субсидий образовательным организациям на обеспечение безопасности образовательных учреждений</t>
  </si>
  <si>
    <t>Обеспечение безопасности образовательных учреждений</t>
  </si>
  <si>
    <t>4.10</t>
  </si>
  <si>
    <t>Предоставление субсидий образовательным организациям на обеспечение пожарной безопасности образовательных учреждений</t>
  </si>
  <si>
    <t xml:space="preserve">Обеспечение пожарной безопасности образовательных учреждений, в том числе: оплата кредиторской задолженности
</t>
  </si>
  <si>
    <t>4.11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</si>
  <si>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</si>
  <si>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Проведение капитальных ремонтов спортивных залов муниципальных общеобразовательных организаций, расположенных в сельской местности</t>
  </si>
  <si>
    <t>4.12</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</si>
  <si>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</si>
  <si>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государственной итоговой аттестации</t>
  </si>
  <si>
    <t>4.13</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</si>
  <si>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</si>
  <si>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</si>
  <si>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4.14</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</si>
  <si>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</si>
  <si>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</si>
  <si>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4.15</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</si>
  <si>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</si>
  <si>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</si>
  <si>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4.16</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</si>
  <si>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</si>
  <si>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в том числе: оплата кредиторской задолженности
</t>
  </si>
  <si>
    <t>4.17</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</si>
  <si>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</si>
  <si>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</si>
  <si>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4.18</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</si>
  <si>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</si>
  <si>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 xml:space="preserve">Обеспечение питанием учащихся из многодетных семей 
</t>
  </si>
  <si>
    <t>Предоставление субсидий образовательным организациям на обеспечение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 - инвалидов (инвалидов), не являющихся обучающимися с ограниченными возможностями здоровья, получающих основное общее и среднее общее образование)</t>
  </si>
  <si>
    <t>4.19</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</si>
  <si>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</si>
  <si>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Капитальный ремонт спортивной площадки</t>
  </si>
  <si>
    <t>4.20</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</si>
  <si>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</si>
  <si>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 xml:space="preserve">Осуществление капитального и текущего ремонта,обеспечение благоустройства муниципальных организаций
</t>
  </si>
  <si>
    <t>4.21</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</si>
  <si>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</si>
  <si>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Устройство, строительство, реконструкция, обустройство объектов, благоустройство территорий</t>
  </si>
  <si>
    <t>4.22</t>
  </si>
  <si>
    <t>Предоставление субсидий образовательным организациям на оснащение спортивных площадок на территории образовательных организаций</t>
  </si>
  <si>
    <t>Подготовка спортивных площадок к новому учебному году</t>
  </si>
  <si>
    <t>4.23</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</si>
  <si>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</si>
  <si>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Финансовое обеспечение деятельности муниципальных организаций</t>
  </si>
  <si>
    <t>Администрация
муниципального образования
Северский муниципальный
район Краснодарского края, управление, образовательные организации</t>
  </si>
  <si>
    <t>4.24</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</si>
  <si>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</si>
  <si>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Исполнение судебных решений и предписаний надзорных органов и др., в том числе: оплата кредиторской задолженности
</t>
  </si>
  <si>
    <t>4.25</t>
  </si>
  <si>
    <t>Предоставление субсидий образовательным организациям на оснащение медицинских кабинетов</t>
  </si>
  <si>
    <t xml:space="preserve">Соответствие медицинских кабинетов действующему законодательству, в том числе: кредиторскую задолженность
</t>
  </si>
  <si>
    <t>Предоставление субсидий образовательным организациям на оснащение медицинских пунктов</t>
  </si>
  <si>
    <t>4.26</t>
  </si>
  <si>
    <t>Предоставление субсидий образовательным организациям на обеспечение защиты информации и информационных систем</t>
  </si>
  <si>
    <t xml:space="preserve">Обеспечение безопасности образовательных учреждений
</t>
  </si>
  <si>
    <t>4.27</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</si>
  <si>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</si>
  <si>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Улучшение условий для содержания учащихся и воспитанников общеобразовательных организаций</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</si>
  <si>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 образовательные организации, образовательные организации</t>
  </si>
  <si>
    <t>4.28</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</si>
  <si>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</si>
  <si>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Проведение медицинских осмотров лиц, занимающихся физической культурой и спортом, по углубленной программе медицинского обследования</t>
  </si>
  <si>
    <t>4.29</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</si>
  <si>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</si>
  <si>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</si>
  <si>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4.30</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</si>
  <si>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t>
  </si>
  <si>
    <t>Капитальный ремонт зданий, помещений, сооружений,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</si>
  <si>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</si>
  <si>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помещений, зданий и сооружений, благоустройство территорий, прилегающих к зданиям и сооружениям муниципальных образовательных организаций)</t>
  </si>
  <si>
    <t>4.31</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</si>
  <si>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t>
  </si>
  <si>
    <t xml:space="preserve">Обновление
материально-технической базы для формирования у обучающихся современных технологических и гуманитарных навыков
</t>
  </si>
  <si>
    <t>4.32</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</si>
  <si>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</si>
  <si>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</si>
  <si>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4.33</t>
  </si>
  <si>
    <t xml:space="preserve">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
</t>
  </si>
  <si>
    <t>Оплата государственной пошлины, обучение по аттестации ответственного за обеспечение безопасности дорожного движения и др.</t>
  </si>
  <si>
    <t>4.34</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</si>
  <si>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</si>
  <si>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</si>
  <si>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4.35</t>
  </si>
  <si>
    <t xml:space="preserve">1) Предоставление субсидий образовательным организациям на подготовку к осенне-зимнему периоду
</t>
  </si>
  <si>
    <t>Обеспечение готовности организаций к осенне-зимнему периоду</t>
  </si>
  <si>
    <t xml:space="preserve">2) Подготовка к осенне-зимнему периоду
</t>
  </si>
  <si>
    <t>Подготовка к отопительному сезону</t>
  </si>
  <si>
    <t>Администрация Администрация
муниципального образования
Северский муниципальный
район Краснодарского края, структурные подразделения администрации</t>
  </si>
  <si>
    <t>4.36</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</si>
  <si>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</si>
  <si>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 xml:space="preserve">Проведение медицинских осмотров лиц, занимающихся физической культурой и спортом, по углубленной программе медицинского обследования
</t>
  </si>
  <si>
    <t>4.37</t>
  </si>
  <si>
    <t xml:space="preserve">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
</t>
  </si>
  <si>
    <t xml:space="preserve">Организация бесплатного горячего питания обучающихся 1-4 классах,       в том числе: оплата кредиторской задолженности
</t>
  </si>
  <si>
    <t>Предоставление субсидий образовательным организациям на организацию бесплатного горячего питания обучающихся, получающих начальное
общее образование в муниципальных образовательных организациях</t>
  </si>
  <si>
    <t>4.38</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</si>
  <si>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</si>
  <si>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</si>
  <si>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4.39</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</si>
  <si>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</si>
  <si>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</si>
  <si>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4.40</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</si>
  <si>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во время реорганизации (ликвидации) и других мероприятий (за исключением текущих ремонтов), возмещение данных понесенных расходов, прочие расходы</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</si>
  <si>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</si>
  <si>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4.41</t>
  </si>
  <si>
    <t>Предоставление субсидий образовательным организациям на приобретение теневых навесов, в том числе их установку</t>
  </si>
  <si>
    <t>Приобретение теневых навесов, в том числе их установка</t>
  </si>
  <si>
    <t>4.42</t>
  </si>
  <si>
    <t>Предоставление субсидий образовательным организациям на оплату услуг по доставке пищи и пищеприготовлению обучающихся по образовательной программе начального общего образования и детей-инвалидов (инвалидов) не являющихся обучающимися с ограниченными возможностями здоровья, детей из семей призванных на военную службу, в муниципальных образовательных организациях</t>
  </si>
  <si>
    <t>Оплату услуг по доставке пищи и пишеприготовлению, в том числе: оплата кредиторской задолженности</t>
  </si>
  <si>
    <t>Предоставление субсидий образовательным организациям на оплату услуг по доставке пищи и пищеприготовлению обучающихся в муниципальных образовательных организациях</t>
  </si>
  <si>
    <t>4.43</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</si>
  <si>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</si>
  <si>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Выплата ежемесячной компенсационной денежной выплаты на питание обучающихся детей- инвалидов, получающих образование на дому</t>
  </si>
  <si>
    <t>4.44</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</si>
  <si>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</si>
  <si>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 xml:space="preserve">Обеспечение бесплатным двухразовым питанием детей-инвалидов (инвалидов),                в том числе: оплата кредиторской задолженности
</t>
  </si>
  <si>
    <t>4.45</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</si>
  <si>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</si>
  <si>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 xml:space="preserve">Организация и обеспечение бесплатным  питанием обучающихся с ограниченными возможностями здоровья, в том числе: оплата кредиторской задолженности
 </t>
  </si>
  <si>
    <t xml:space="preserve">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 </t>
  </si>
  <si>
    <t>4.46</t>
  </si>
  <si>
    <t>Предоставление субсидий образовательным организациям на мероприятия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</si>
  <si>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</si>
  <si>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Предоставление субсидий образовательным организациям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</si>
  <si>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4.47</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</si>
  <si>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1.20, 1.26)****</t>
  </si>
  <si>
    <t>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t>
  </si>
  <si>
    <t>4.48</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</si>
  <si>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"Патриотическое воспитание граждан Российской Федерации" (приобретение товаров (работ, услуг) в целях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т.ч. предоставление субсидий образовательным организациям</t>
  </si>
  <si>
    <t>Приобретение товаров(работ,услуг) в целях оснащения муниципальных образовательных организаций</t>
  </si>
  <si>
    <t xml:space="preserve">Организация предоставления общедоступного и бесплатного начального общего, основного общего, среднего общего образования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</si>
  <si>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4.49</t>
  </si>
  <si>
    <t>Предоставление субсидий образовательным организациям на приобретение имущества, не включенного в проектно-сметную документацию</t>
  </si>
  <si>
    <t>Приобретение имущества</t>
  </si>
  <si>
    <t>4.50</t>
  </si>
  <si>
    <t>Предоставление субсидий образовательным организациям на ремонт и (или) оснащение помещений образовательных организаций, предназначенных для создания "Центра детских инициатив"</t>
  </si>
  <si>
    <t>Ремонт и (или) оснащение помещений</t>
  </si>
  <si>
    <t>4.51</t>
  </si>
  <si>
    <t xml:space="preserve">Предоставление субсидий образовательным организациям  на грант в форме субсидии на:  оказание психолого-педагогической, методической и консультативной помощи гражданам, имеющим детей, в рамках реализации мероприятий регионального проекта "Современная школа"
</t>
  </si>
  <si>
    <t>Финансовое обеспечение затрат, связанных с оказанием
услуг</t>
  </si>
  <si>
    <t>4.52</t>
  </si>
  <si>
    <t xml:space="preserve">Предоставление субсидий образовательным организациям  на демонтажные работы, утилизацию здания (в том числе разработка ПСД и т.д.)
</t>
  </si>
  <si>
    <t>4.53</t>
  </si>
  <si>
    <t xml:space="preserve">Предоставление субсидий образовательным организациям  на осуществление компенсационной денежной выплаты обучающимся детям-инвалидам не являющихся обучающимися с ограниченными возможностями здоровья, нуждающихся в лечебном и диетическом питании, получающим начальное, общее, основное общее и среднее общее образование, получающих образование в общеобразовательных организациях
</t>
  </si>
  <si>
    <t xml:space="preserve">Выплата ежемесячной денежной выплаты
</t>
  </si>
  <si>
    <t>4.54</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</si>
  <si>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 муниципального образования Северский район                                                       в т.ч. предоставление субсидий</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</si>
  <si>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t>
  </si>
  <si>
    <t>4.55</t>
  </si>
  <si>
    <t>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</si>
  <si>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 xml:space="preserve">Устройство, строительство, реконструкция, обустройство объектов, благоустройство территорий, расположенных на территории образовательных организаций </t>
  </si>
  <si>
    <t>4.56</t>
  </si>
  <si>
    <t>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t>
  </si>
  <si>
    <t xml:space="preserve">Организация и обеспечение бесплатным горячим питанием обучающихся с ограниченными возможностями здоровья, в том числе: оплата кредиторской задолженности
 </t>
  </si>
  <si>
    <t>4.57</t>
  </si>
  <si>
    <t>Предоставление субсидий образовательным организациям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целях обеспечения деятельности советников директора по воспитанию и взаимодействию с детскими общественными объединениями в общеобразовательных организациях</t>
  </si>
  <si>
    <t>4.58</t>
  </si>
  <si>
    <t>Предоставление субсидий образовательным организациям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</si>
  <si>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4.59</t>
  </si>
  <si>
    <t>Предоставление субсидий образовательным организациям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проведения капитальных ремонтов помещений, зданий, сооружений муниципальных образовательных организаций, включая капитальный ремонт спортивных залов, в том числе помещений при них, других помещений физкультурно-спортивного назначения, физкультурно-оздоровительных комплексов, благоустройство территорий, прилегающих к зданиям и сооружениям муниципальных образовательных организаций</t>
  </si>
  <si>
    <t xml:space="preserve">Капитальный ремонт зданий </t>
  </si>
  <si>
    <t>4.60</t>
  </si>
  <si>
    <t xml:space="preserve">Предоставление субсидий образовательным организациям на финансовое 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 в рамках федерального проекта «Современная школа» национального проекта «Образование» </t>
  </si>
  <si>
    <t>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t>
  </si>
  <si>
    <t>4.61</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</si>
  <si>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и переоснащение пищевых
 блоков муниципальных общеобразовательных 
организаций) 
</t>
  </si>
  <si>
    <t>4.62</t>
  </si>
  <si>
    <t>Предоставление субсидий образовательным организациям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расположенных на территории Краснодарского края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</si>
  <si>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</si>
  <si>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4.63</t>
  </si>
  <si>
    <t>Предоставление субсидий образовательным организациям на выполнение топографических съемок земельных участков</t>
  </si>
  <si>
    <t>4.64</t>
  </si>
  <si>
    <t>Предоставление субсидий образовательным организациям на строительство некапитального строения "Модульная столовая"</t>
  </si>
  <si>
    <t>Строительство некапитального строения "Модульная столовая"</t>
  </si>
  <si>
    <t>4.65</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</si>
  <si>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общего,среднего общего образования по основным общеобразовательным программам в муниципальных образовательных организациях в целях приобретения движимого имущества для обеспечения фунцкионирования вновь созданных и (или) создаваемых мест в муниципальных образовательных организациях (оснащение  дошкольных образовательных организаций, в том числе для размещения детей в возрасте до 3 лет)</t>
  </si>
  <si>
    <t>Улучшение условий для содержания учащихся и воспитанников дошкольных образовательных организаций</t>
  </si>
  <si>
    <t>4.66</t>
  </si>
  <si>
    <t>Предоставление субсидий образовательным организациям на оплату услуги по присмотру и уходу за детьми льготной категории в группах продленного дня в муниципальных общеобразовательных организациях</t>
  </si>
  <si>
    <t>Услуги по присмотру и уходу за детьми льготной категории в группах продленного дня</t>
  </si>
  <si>
    <t>4.67</t>
  </si>
  <si>
    <t>Предоставление субсидий образовательной организации на объект культурного наследия регионального значения "Здание где ревком станицы Северской под председательством Я.В. Полуяна провозгласил Советскую власть" 1918 г.</t>
  </si>
  <si>
    <t>Оплата работ по реконструкции, изготовление ПСД, технический надзор, авторский надзор и др.</t>
  </si>
  <si>
    <t>Задача: Совершенствование системы управления в сфере образования муниципального района</t>
  </si>
  <si>
    <t>5. Финансовое обеспечение деятельности муниципальных казенных учреждений и органов управления</t>
  </si>
  <si>
    <t>5.1</t>
  </si>
  <si>
    <t>Расходы на обеспечение деятельности (оказание услуг) муниципальных учреждений</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</si>
  <si>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</si>
  <si>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</si>
  <si>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5.2</t>
  </si>
  <si>
    <t>Обеспечение выполнения функций управления в области образования</t>
  </si>
  <si>
    <t>Финансовое обеспечение выполнения функций управления в области образования</t>
  </si>
  <si>
    <t>Администрация
муниципального образования
Северский муниципальный
район Краснодарского края, управление образования</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</si>
  <si>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</si>
  <si>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</si>
  <si>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</si>
  <si>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Подпункт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</si>
  <si>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 xml:space="preserve">**** Пункт 1.1, 1.3, 1.5, 1.20, 1.26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1.13, 1.20, 1.26                                                              </t>
  </si>
  <si>
    <t xml:space="preserve">Начальник управления образования  </t>
  </si>
  <si>
    <t>Л.В. Мазько</t>
  </si>
  <si>
    <t xml:space="preserve">Приложение №1 
к муниципальной программе
 «Развитие образования» на 2018-2025 годы» 
</t>
  </si>
  <si>
    <t xml:space="preserve">Цели, задачи и целевые показатели муниципальной программы
 «Развитие образования» на 2018-2025 годы» 
</t>
  </si>
  <si>
    <t>Наименование целевого показателя</t>
  </si>
  <si>
    <t>Единица измерения</t>
  </si>
  <si>
    <t>Значение показателей</t>
  </si>
  <si>
    <t>год</t>
  </si>
  <si>
    <t>Доля детей, охваченных дошкольным образованием, от общей численности детей</t>
  </si>
  <si>
    <t>проценты</t>
  </si>
  <si>
    <t>Введение дополнительных мест в системе дошкольного образования</t>
  </si>
  <si>
    <t>тыс.мест</t>
  </si>
  <si>
    <t>Отношение численности детей в возрасте 3-7 лет, которым предоставлена возможность получать услуги дошкольного образования, к численности детей в возрасте 3-7 лет, скорректированной на численность детей в возрасте 5-7 лет, обучающихся в школах</t>
  </si>
  <si>
    <t>Отношение среднемесячной заработной платы педагогических работников муниципальных дошкольных образовательных организаций к среднемесячной заработной плате организаций общего образования Краснодарского края</t>
  </si>
  <si>
    <t>5.</t>
  </si>
  <si>
    <t>Численность обучающихся по программам общего образования в общеобразовательных организациях района</t>
  </si>
  <si>
    <t>тыс. человек</t>
  </si>
  <si>
    <t>6.</t>
  </si>
  <si>
    <t>Численность обучающихся по программам общего образования в расчете на 1 учителя</t>
  </si>
  <si>
    <t>человек</t>
  </si>
  <si>
    <t>7.</t>
  </si>
  <si>
    <t>Удельный вес численности обучающихся в организациях общего образования, обучающихся по новым федеральным государственным образовательным стандартам</t>
  </si>
  <si>
    <t>8.</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</si>
  <si>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</si>
  <si>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9.</t>
  </si>
  <si>
    <t>Отношение среднемесячной заработной платы педагогических работников образовательных организаций общего образования к среднемесячной заработной плате в экономике Краснодарского края</t>
  </si>
  <si>
    <t>10.</t>
  </si>
  <si>
    <t>Количество персональных компьютеров в расчете на 100 учащихся общеобразовательных школ</t>
  </si>
  <si>
    <t>количество</t>
  </si>
  <si>
    <t>11.</t>
  </si>
  <si>
    <t>Доля общеобразовательных организаций, имеющих скорость доступа к сети «Интернет» не менее 2  Мб/с</t>
  </si>
  <si>
    <t>12.</t>
  </si>
  <si>
    <t>Доля обучающихся, которым предоставлены от 80 до 100 процентов основных видов условий обучения (в общей численности обучающихся по программам общего образования)</t>
  </si>
  <si>
    <t>13.</t>
  </si>
  <si>
    <t>Доля детей и молодежи в возрасте 5—18 лет, охваченных образовательными программами дополнительного образования</t>
  </si>
  <si>
    <t>Доля детей в возрасте от 5 до 18 лет,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 по отрасли «Образование»</t>
  </si>
  <si>
    <t>15.</t>
  </si>
  <si>
    <t>Количество созданных дистанционных мест обучения</t>
  </si>
  <si>
    <t>шт.</t>
  </si>
  <si>
    <t>16.</t>
  </si>
  <si>
    <t>Выполнение муниципальных заданий муниципальными организациями</t>
  </si>
  <si>
    <t>17.</t>
  </si>
  <si>
    <t>Доля образовательных организаций, получивших предписания управления по надзору и контролю в сфере образования</t>
  </si>
  <si>
    <t>18.</t>
  </si>
  <si>
    <t>Средний срок процедуры лицензирования образовательной деятельности</t>
  </si>
  <si>
    <t>дней</t>
  </si>
  <si>
    <t>19.</t>
  </si>
  <si>
    <t>Количество отремонтированных образовательных организаций</t>
  </si>
  <si>
    <t>единиц</t>
  </si>
  <si>
    <t>20.</t>
  </si>
  <si>
    <t>Количество капитально отремонтированных зданий образовательных организаций</t>
  </si>
  <si>
    <t>количество организаций</t>
  </si>
  <si>
    <t>21.</t>
  </si>
  <si>
    <t>Количество автобусов, приобретенных для подвоза учащихся к общеобразовательным организациям</t>
  </si>
  <si>
    <t>22.</t>
  </si>
  <si>
    <t>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Краснодарском крае</t>
  </si>
  <si>
    <t>процентов</t>
  </si>
  <si>
    <t>23.</t>
  </si>
  <si>
    <t>Количество организаций, расположенных в сельской местности, в которых отремонтированы спортивные залы</t>
  </si>
  <si>
    <t>24.</t>
  </si>
  <si>
    <t>Количество муниципальных образовательных организаций, осуществляющих приобретение движимого имущества</t>
  </si>
  <si>
    <t>25.</t>
  </si>
  <si>
    <t>Обеспечение безопасности муниципальных образовательных организаций</t>
  </si>
  <si>
    <t>26.</t>
  </si>
  <si>
    <t>Количество капитально отремонтированных спортивных залов муниципальных общеобразовательных организаций, помещений при них, других помещений физкультурно– спортивного назначения, физкультурно–оздоровительных комплексов</t>
  </si>
  <si>
    <t>27.</t>
  </si>
  <si>
    <t>Количество автобусов, осуществляющих подвоз учащихся, не менее</t>
  </si>
  <si>
    <t>28.</t>
  </si>
  <si>
    <t>Количество образовательных организаций, на территории которых произведено благоустройство, в том числе капитальный ремонт и устройство теневых навесов(приобретение)</t>
  </si>
  <si>
    <t>29.</t>
  </si>
  <si>
    <t>Количество образовательных организаций, которым выделяются средства на изготовление ПСД, а также на иные расходы, связанные с изготовлением ПСД для проведения капитальных ремонтов</t>
  </si>
  <si>
    <t>30.</t>
  </si>
  <si>
    <t>Количество организаций, осуществляющих подготовку к осенне-зимнему периоду</t>
  </si>
  <si>
    <t>31.</t>
  </si>
  <si>
    <t>Количество оснащенных и (или) отремонтированных помещий образовательных организаций для создания "Центра детских инициатив"</t>
  </si>
  <si>
    <t>Начальник управления образования</t>
  </si>
</sst>
</file>

<file path=xl/styles.xml><?xml version="1.0" encoding="utf-8"?>
<styleSheet xmlns="http://schemas.openxmlformats.org/spreadsheetml/2006/main" xmlns:mc="http://schemas.openxmlformats.org/markup-compatibility/2006" xmlns:xr9="http://schemas.microsoft.com/office/spreadsheetml/2016/revision9" mc:Ignorable="xr9">
  <numFmts count="11">
    <numFmt numFmtId="176" formatCode="_-* #\ ##0.00_р_._-;\-* #\ ##0.00_р_._-;_-* &quot;-&quot;??_р_._-;_-@_-"/>
    <numFmt numFmtId="177" formatCode="_-* #\.##0.00\ &quot;₽&quot;_-;\-* #\.##0.00\ &quot;₽&quot;_-;_-* \-??\ &quot;₽&quot;_-;_-@_-"/>
    <numFmt numFmtId="178" formatCode="_-* #\.##0_-;\-* #\.##0_-;_-* &quot;-&quot;_-;_-@_-"/>
    <numFmt numFmtId="179" formatCode="_-* #\.##0\ &quot;₽&quot;_-;\-* #\.##0\ &quot;₽&quot;_-;_-* \-\ &quot;₽&quot;_-;_-@_-"/>
    <numFmt numFmtId="180" formatCode="#\ ##0.0"/>
    <numFmt numFmtId="181" formatCode="00\.00\.00"/>
    <numFmt numFmtId="182" formatCode="000\.00\.00"/>
    <numFmt numFmtId="183" formatCode="#\ ##0.00;[Red]\-#\ ##0.00"/>
    <numFmt numFmtId="184" formatCode="#\ ##0.00_ ;[Red]\-#\ ##0.00\ "/>
    <numFmt numFmtId="185" formatCode="000\.00\.000\.0"/>
    <numFmt numFmtId="186" formatCode="dd\.mmm"/>
  </numFmts>
  <fonts count="60">
    <font>
      <sz val="11"/>
      <color theme="1"/>
      <name val="Calibri"/>
      <charset val="134"/>
      <scheme val="minor"/>
    </font>
    <font>
      <sz val="14"/>
      <color theme="1"/>
      <name val="Calibri"/>
      <charset val="134"/>
      <scheme val="minor"/>
    </font>
    <font>
      <sz val="14"/>
      <color theme="1"/>
      <name val="Times New Roman"/>
      <charset val="204"/>
    </font>
    <font>
      <sz val="12"/>
      <color theme="1"/>
      <name val="Times New Roman"/>
      <charset val="204"/>
    </font>
    <font>
      <b/>
      <sz val="14"/>
      <color theme="1"/>
      <name val="Times New Roman"/>
      <charset val="204"/>
    </font>
    <font>
      <sz val="14"/>
      <color rgb="FF404040"/>
      <name val="Times New Roman"/>
      <charset val="204"/>
    </font>
    <font>
      <sz val="14"/>
      <color rgb="FF000000"/>
      <name val="Times New Roman"/>
      <charset val="204"/>
    </font>
    <font>
      <sz val="11"/>
      <name val="Calibri"/>
      <charset val="134"/>
      <scheme val="minor"/>
    </font>
    <font>
      <sz val="14"/>
      <name val="Calibri"/>
      <charset val="134"/>
      <scheme val="minor"/>
    </font>
    <font>
      <sz val="13"/>
      <name val="Calibri"/>
      <charset val="134"/>
      <scheme val="minor"/>
    </font>
    <font>
      <b/>
      <sz val="22"/>
      <name val="Times New Roman"/>
      <charset val="204"/>
    </font>
    <font>
      <sz val="15"/>
      <name val="Times New Roman"/>
      <charset val="204"/>
    </font>
    <font>
      <b/>
      <sz val="15"/>
      <name val="Times New Roman"/>
      <charset val="204"/>
    </font>
    <font>
      <sz val="15"/>
      <name val="Calibri"/>
      <charset val="134"/>
      <scheme val="minor"/>
    </font>
    <font>
      <b/>
      <sz val="15"/>
      <color theme="1"/>
      <name val="Times New Roman"/>
      <charset val="204"/>
    </font>
    <font>
      <sz val="16"/>
      <name val="Calibri"/>
      <charset val="134"/>
      <scheme val="minor"/>
    </font>
    <font>
      <sz val="16"/>
      <name val="Times New Roman"/>
      <charset val="204"/>
    </font>
    <font>
      <sz val="10"/>
      <name val="Arial"/>
      <charset val="204"/>
    </font>
    <font>
      <b/>
      <sz val="10"/>
      <name val="Arial"/>
      <charset val="204"/>
    </font>
    <font>
      <i/>
      <sz val="10"/>
      <name val="Arial"/>
      <charset val="204"/>
    </font>
    <font>
      <sz val="15"/>
      <color theme="1"/>
      <name val="Times New Roman"/>
      <charset val="204"/>
    </font>
    <font>
      <sz val="13"/>
      <name val="Times New Roman"/>
      <charset val="204"/>
    </font>
    <font>
      <b/>
      <sz val="14"/>
      <name val="Times New Roman"/>
      <charset val="204"/>
    </font>
    <font>
      <b/>
      <sz val="13"/>
      <name val="Times New Roman"/>
      <charset val="204"/>
    </font>
    <font>
      <sz val="24"/>
      <name val="Times New Roman"/>
      <charset val="204"/>
    </font>
    <font>
      <sz val="14"/>
      <name val="Times New Roman"/>
      <charset val="20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9"/>
      <name val="Tahoma"/>
      <charset val="1"/>
    </font>
    <font>
      <b/>
      <sz val="13"/>
      <name val="Tahoma"/>
      <charset val="204"/>
    </font>
    <font>
      <sz val="13"/>
      <name val="Tahoma"/>
      <charset val="204"/>
    </font>
    <font>
      <sz val="9"/>
      <name val="Tahoma"/>
      <charset val="204"/>
    </font>
    <font>
      <b/>
      <sz val="9"/>
      <name val="Tahoma"/>
      <charset val="204"/>
    </font>
    <font>
      <sz val="11"/>
      <name val="Tahoma"/>
      <charset val="204"/>
    </font>
    <font>
      <b/>
      <sz val="12"/>
      <name val="Calibri Light"/>
      <charset val="0"/>
      <scheme val="major"/>
    </font>
    <font>
      <b/>
      <sz val="12"/>
      <name val="Tahoma"/>
      <charset val="204"/>
    </font>
    <font>
      <sz val="12"/>
      <name val="Tahoma"/>
      <charset val="204"/>
    </font>
    <font>
      <sz val="12"/>
      <name val="Calibri Light"/>
      <charset val="0"/>
      <scheme val="major"/>
    </font>
    <font>
      <b/>
      <sz val="11"/>
      <name val="Tahoma"/>
      <charset val="204"/>
    </font>
    <font>
      <b/>
      <sz val="10"/>
      <name val="Tahoma"/>
      <charset val="204"/>
    </font>
    <font>
      <sz val="10"/>
      <name val="Tahoma"/>
      <charset val="204"/>
    </font>
    <font>
      <b/>
      <sz val="9"/>
      <name val="Tahoma"/>
      <charset val="1"/>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0">
    <border>
      <left/>
      <right/>
      <top/>
      <bottom/>
      <diagonal/>
    </border>
    <border>
      <left/>
      <right/>
      <top style="thin">
        <color auto="1"/>
      </top>
      <bottom/>
      <diagonal/>
    </border>
    <border>
      <left style="thin">
        <color auto="1"/>
      </left>
      <right/>
      <top/>
      <bottom/>
      <diagonal/>
    </border>
    <border>
      <left/>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top style="medium">
        <color auto="1"/>
      </top>
      <bottom/>
      <diagonal/>
    </border>
    <border>
      <left/>
      <right/>
      <top/>
      <bottom style="medium">
        <color auto="1"/>
      </bottom>
      <diagonal/>
    </border>
    <border>
      <left/>
      <right/>
      <top style="medium">
        <color auto="1"/>
      </top>
      <bottom style="medium">
        <color auto="1"/>
      </bottom>
      <diagonal/>
    </border>
    <border>
      <left/>
      <right/>
      <top style="thin">
        <color auto="1"/>
      </top>
      <bottom style="medium">
        <color auto="1"/>
      </bottom>
      <diagonal/>
    </border>
    <border>
      <left style="medium">
        <color auto="1"/>
      </left>
      <right/>
      <top style="medium">
        <color auto="1"/>
      </top>
      <bottom/>
      <diagonal/>
    </border>
    <border>
      <left style="medium">
        <color auto="1"/>
      </left>
      <right/>
      <top/>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style="medium">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bottom/>
      <diagonal/>
    </border>
    <border>
      <left style="medium">
        <color auto="1"/>
      </left>
      <right/>
      <top/>
      <bottom style="thin">
        <color auto="1"/>
      </bottom>
      <diagonal/>
    </border>
    <border>
      <left style="medium">
        <color auto="1"/>
      </left>
      <right/>
      <top style="thin">
        <color auto="1"/>
      </top>
      <bottom/>
      <diagonal/>
    </border>
    <border>
      <left style="medium">
        <color auto="1"/>
      </left>
      <right style="thin">
        <color auto="1"/>
      </right>
      <top style="thin">
        <color auto="1"/>
      </top>
      <bottom/>
      <diagonal/>
    </border>
    <border>
      <left style="medium">
        <color auto="1"/>
      </left>
      <right style="medium">
        <color auto="1"/>
      </right>
      <top style="thin">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thin">
        <color auto="1"/>
      </top>
      <bottom style="medium">
        <color auto="1"/>
      </bottom>
      <diagonal/>
    </border>
    <border>
      <left/>
      <right style="thin">
        <color auto="1"/>
      </right>
      <top/>
      <bottom style="thin">
        <color auto="1"/>
      </bottom>
      <diagonal/>
    </border>
    <border>
      <left style="medium">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top style="medium">
        <color auto="1"/>
      </top>
      <bottom style="thin">
        <color auto="1"/>
      </bottom>
      <diagonal/>
    </border>
    <border>
      <left/>
      <right style="medium">
        <color auto="1"/>
      </right>
      <top style="medium">
        <color auto="1"/>
      </top>
      <bottom/>
      <diagonal/>
    </border>
    <border>
      <left/>
      <right style="medium">
        <color auto="1"/>
      </right>
      <top/>
      <bottom/>
      <diagonal/>
    </border>
    <border>
      <left/>
      <right style="medium">
        <color auto="1"/>
      </right>
      <top style="medium">
        <color auto="1"/>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diagonal/>
    </border>
    <border>
      <left/>
      <right style="medium">
        <color auto="1"/>
      </right>
      <top/>
      <bottom style="thin">
        <color auto="1"/>
      </bottom>
      <diagonal/>
    </border>
    <border>
      <left/>
      <right style="medium">
        <color auto="1"/>
      </right>
      <top style="thin">
        <color auto="1"/>
      </top>
      <bottom style="medium">
        <color auto="1"/>
      </bottom>
      <diagonal/>
    </border>
    <border>
      <left style="thin">
        <color auto="1"/>
      </left>
      <right style="medium">
        <color auto="1"/>
      </right>
      <top style="medium">
        <color auto="1"/>
      </top>
      <bottom/>
      <diagonal/>
    </border>
    <border>
      <left style="thin">
        <color auto="1"/>
      </left>
      <right style="medium">
        <color auto="1"/>
      </right>
      <top/>
      <bottom style="thin">
        <color auto="1"/>
      </bottom>
      <diagonal/>
    </border>
    <border>
      <left style="thin">
        <color auto="1"/>
      </left>
      <right style="medium">
        <color auto="1"/>
      </right>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auto="1"/>
      </left>
      <right style="medium">
        <color auto="1"/>
      </right>
      <top style="thin">
        <color auto="1"/>
      </top>
      <bottom style="medium">
        <color auto="1"/>
      </bottom>
      <diagonal/>
    </border>
    <border>
      <left style="thin">
        <color auto="1"/>
      </left>
      <right style="medium">
        <color auto="1"/>
      </right>
      <top/>
      <bottom style="medium">
        <color auto="1"/>
      </bottom>
      <diagonal/>
    </border>
    <border>
      <left/>
      <right style="thin">
        <color auto="1"/>
      </right>
      <top/>
      <bottom style="medium">
        <color auto="1"/>
      </bottom>
      <diagonal/>
    </border>
    <border>
      <left style="thin">
        <color indexed="8"/>
      </left>
      <right/>
      <top/>
      <bottom/>
      <diagonal/>
    </border>
    <border>
      <left style="medium">
        <color indexed="8"/>
      </left>
      <right style="thin">
        <color indexed="8"/>
      </right>
      <top style="thin">
        <color indexed="8"/>
      </top>
      <bottom style="thin">
        <color auto="1"/>
      </bottom>
      <diagonal/>
    </border>
    <border>
      <left style="thin">
        <color indexed="8"/>
      </left>
      <right style="thin">
        <color indexed="8"/>
      </right>
      <top style="thin">
        <color indexed="8"/>
      </top>
      <bottom style="thin">
        <color auto="1"/>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auto="1"/>
      </bottom>
      <diagonal/>
    </border>
    <border>
      <left style="medium">
        <color indexed="8"/>
      </left>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auto="1"/>
      </top>
      <bottom/>
      <diagonal/>
    </border>
    <border>
      <left style="medium">
        <color auto="1"/>
      </left>
      <right style="medium">
        <color auto="1"/>
      </right>
      <top/>
      <bottom style="medium">
        <color auto="1"/>
      </bottom>
      <diagonal/>
    </border>
    <border>
      <left style="medium">
        <color auto="1"/>
      </left>
      <right/>
      <top/>
      <bottom style="medium">
        <color auto="1"/>
      </bottom>
      <diagonal/>
    </border>
    <border>
      <left style="medium">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medium">
        <color auto="1"/>
      </right>
      <top/>
      <bottom style="medium">
        <color auto="1"/>
      </bottom>
      <diagonal/>
    </border>
    <border>
      <left style="thin">
        <color auto="1"/>
      </left>
      <right/>
      <top style="medium">
        <color auto="1"/>
      </top>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0" fillId="0" borderId="0" applyFont="0" applyFill="0" applyBorder="0" applyAlignment="0" applyProtection="0"/>
    <xf numFmtId="177" fontId="26" fillId="0" borderId="0" applyFont="0" applyFill="0" applyBorder="0" applyAlignment="0" applyProtection="0">
      <alignment vertical="center"/>
    </xf>
    <xf numFmtId="9" fontId="26" fillId="0" borderId="0" applyFont="0" applyFill="0" applyBorder="0" applyAlignment="0" applyProtection="0">
      <alignment vertical="center"/>
    </xf>
    <xf numFmtId="178" fontId="26" fillId="0" borderId="0" applyFont="0" applyFill="0" applyBorder="0" applyAlignment="0" applyProtection="0">
      <alignment vertical="center"/>
    </xf>
    <xf numFmtId="179"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3" borderId="82"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83" applyNumberFormat="0" applyFill="0" applyAlignment="0" applyProtection="0">
      <alignment vertical="center"/>
    </xf>
    <xf numFmtId="0" fontId="33" fillId="0" borderId="83" applyNumberFormat="0" applyFill="0" applyAlignment="0" applyProtection="0">
      <alignment vertical="center"/>
    </xf>
    <xf numFmtId="0" fontId="34" fillId="0" borderId="84" applyNumberFormat="0" applyFill="0" applyAlignment="0" applyProtection="0">
      <alignment vertical="center"/>
    </xf>
    <xf numFmtId="0" fontId="34" fillId="0" borderId="0" applyNumberFormat="0" applyFill="0" applyBorder="0" applyAlignment="0" applyProtection="0">
      <alignment vertical="center"/>
    </xf>
    <xf numFmtId="0" fontId="35" fillId="4" borderId="85" applyNumberFormat="0" applyAlignment="0" applyProtection="0">
      <alignment vertical="center"/>
    </xf>
    <xf numFmtId="0" fontId="36" fillId="5" borderId="86" applyNumberFormat="0" applyAlignment="0" applyProtection="0">
      <alignment vertical="center"/>
    </xf>
    <xf numFmtId="0" fontId="37" fillId="5" borderId="85" applyNumberFormat="0" applyAlignment="0" applyProtection="0">
      <alignment vertical="center"/>
    </xf>
    <xf numFmtId="0" fontId="38" fillId="6" borderId="87" applyNumberFormat="0" applyAlignment="0" applyProtection="0">
      <alignment vertical="center"/>
    </xf>
    <xf numFmtId="0" fontId="39" fillId="0" borderId="88" applyNumberFormat="0" applyFill="0" applyAlignment="0" applyProtection="0">
      <alignment vertical="center"/>
    </xf>
    <xf numFmtId="0" fontId="40" fillId="0" borderId="89"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17" fillId="0" borderId="0"/>
  </cellStyleXfs>
  <cellXfs count="345">
    <xf numFmtId="0" fontId="0" fillId="0" borderId="0" xfId="0"/>
    <xf numFmtId="0" fontId="1" fillId="0" borderId="1" xfId="0" applyFont="1" applyBorder="1"/>
    <xf numFmtId="0" fontId="2" fillId="0" borderId="0" xfId="0" applyFont="1"/>
    <xf numFmtId="0" fontId="1" fillId="0" borderId="2" xfId="0" applyFont="1" applyBorder="1"/>
    <xf numFmtId="0" fontId="1" fillId="0" borderId="0" xfId="0" applyFont="1"/>
    <xf numFmtId="0" fontId="3" fillId="0" borderId="0" xfId="0" applyFont="1" applyAlignment="1">
      <alignment horizontal="right" wrapText="1"/>
    </xf>
    <xf numFmtId="0" fontId="4" fillId="0" borderId="0" xfId="0" applyFont="1" applyAlignment="1">
      <alignment wrapText="1"/>
    </xf>
    <xf numFmtId="0" fontId="3" fillId="0" borderId="0" xfId="0" applyFont="1" applyAlignment="1">
      <alignment vertical="top" wrapText="1"/>
    </xf>
    <xf numFmtId="0" fontId="4" fillId="0" borderId="0" xfId="0" applyFont="1" applyAlignment="1">
      <alignment horizontal="center" wrapText="1"/>
    </xf>
    <xf numFmtId="0" fontId="4" fillId="0" borderId="3" xfId="0" applyFont="1" applyBorder="1" applyAlignment="1">
      <alignment wrapText="1"/>
    </xf>
    <xf numFmtId="0" fontId="3" fillId="0" borderId="3" xfId="0" applyFont="1" applyBorder="1" applyAlignment="1">
      <alignment vertical="top"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justify" vertical="center" wrapText="1"/>
    </xf>
    <xf numFmtId="0" fontId="2" fillId="0" borderId="6" xfId="0" applyFont="1" applyBorder="1" applyAlignment="1">
      <alignment vertical="center" wrapText="1"/>
    </xf>
    <xf numFmtId="0" fontId="5" fillId="0" borderId="6" xfId="0" applyFont="1" applyBorder="1" applyAlignment="1">
      <alignment horizontal="center" vertical="center" wrapText="1"/>
    </xf>
    <xf numFmtId="0" fontId="6" fillId="0" borderId="6" xfId="0" applyFont="1" applyBorder="1" applyAlignment="1">
      <alignment horizontal="justify" vertical="center" wrapText="1"/>
    </xf>
    <xf numFmtId="0" fontId="1" fillId="0" borderId="6" xfId="0" applyFont="1" applyBorder="1"/>
    <xf numFmtId="0" fontId="7" fillId="0" borderId="3" xfId="0" applyFont="1" applyBorder="1"/>
    <xf numFmtId="0" fontId="7" fillId="0" borderId="10" xfId="0" applyFont="1" applyBorder="1"/>
    <xf numFmtId="0" fontId="7" fillId="0" borderId="11" xfId="0" applyFont="1" applyBorder="1"/>
    <xf numFmtId="0" fontId="7" fillId="0" borderId="12" xfId="0" applyFont="1" applyBorder="1"/>
    <xf numFmtId="0" fontId="7" fillId="0" borderId="0" xfId="0" applyFont="1" applyBorder="1"/>
    <xf numFmtId="0" fontId="7" fillId="0" borderId="13" xfId="0" applyFont="1" applyBorder="1"/>
    <xf numFmtId="0" fontId="7" fillId="2" borderId="0" xfId="0" applyFont="1" applyFill="1"/>
    <xf numFmtId="0" fontId="7" fillId="2" borderId="10" xfId="0" applyFont="1" applyFill="1" applyBorder="1"/>
    <xf numFmtId="0" fontId="7" fillId="2" borderId="3" xfId="0" applyFont="1" applyFill="1" applyBorder="1"/>
    <xf numFmtId="0" fontId="7" fillId="0" borderId="1" xfId="0" applyFont="1" applyBorder="1"/>
    <xf numFmtId="0" fontId="7" fillId="0" borderId="0" xfId="0" applyFont="1"/>
    <xf numFmtId="0" fontId="8" fillId="0" borderId="0" xfId="0" applyFont="1"/>
    <xf numFmtId="0" fontId="7" fillId="0" borderId="0" xfId="0" applyFont="1" applyFill="1"/>
    <xf numFmtId="0" fontId="9" fillId="0" borderId="14" xfId="0" applyFont="1" applyBorder="1"/>
    <xf numFmtId="0" fontId="8" fillId="0" borderId="10" xfId="0" applyFont="1" applyBorder="1"/>
    <xf numFmtId="0" fontId="9" fillId="0" borderId="10" xfId="0" applyFont="1" applyBorder="1"/>
    <xf numFmtId="0" fontId="10" fillId="0" borderId="10" xfId="0" applyFont="1" applyBorder="1" applyAlignment="1">
      <alignment horizontal="center" vertical="center" wrapText="1"/>
    </xf>
    <xf numFmtId="0" fontId="9" fillId="0" borderId="15" xfId="0" applyFont="1" applyBorder="1"/>
    <xf numFmtId="0" fontId="9" fillId="0" borderId="0" xfId="0" applyFont="1"/>
    <xf numFmtId="0" fontId="10" fillId="0" borderId="0" xfId="0" applyFont="1" applyAlignment="1">
      <alignment horizontal="center" vertical="center" wrapText="1"/>
    </xf>
    <xf numFmtId="0" fontId="10" fillId="0" borderId="11"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0" xfId="0" applyFont="1" applyFill="1" applyBorder="1" applyAlignment="1">
      <alignment horizontal="center" vertical="center" wrapText="1"/>
    </xf>
    <xf numFmtId="0" fontId="11" fillId="0" borderId="2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6"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27" xfId="0" applyFont="1" applyFill="1" applyBorder="1" applyAlignment="1">
      <alignment horizontal="center" vertical="center" wrapText="1"/>
    </xf>
    <xf numFmtId="0" fontId="11" fillId="0" borderId="28"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28" xfId="0" applyFont="1" applyFill="1" applyBorder="1" applyAlignment="1">
      <alignment horizontal="center" vertical="center" wrapText="1"/>
    </xf>
    <xf numFmtId="0" fontId="11" fillId="0" borderId="6" xfId="0" applyFont="1" applyBorder="1" applyAlignment="1">
      <alignment horizontal="center"/>
    </xf>
    <xf numFmtId="0" fontId="11" fillId="0" borderId="6" xfId="0" applyFont="1" applyFill="1" applyBorder="1" applyAlignment="1">
      <alignment horizontal="center"/>
    </xf>
    <xf numFmtId="0" fontId="12" fillId="0" borderId="31" xfId="0" applyFont="1" applyBorder="1" applyAlignment="1">
      <alignment horizontal="center" vertical="center"/>
    </xf>
    <xf numFmtId="0" fontId="11" fillId="0" borderId="8" xfId="0" applyFont="1" applyBorder="1" applyAlignment="1">
      <alignment horizontal="left"/>
    </xf>
    <xf numFmtId="0" fontId="11" fillId="0" borderId="3" xfId="0" applyFont="1" applyBorder="1" applyAlignment="1">
      <alignment horizontal="left"/>
    </xf>
    <xf numFmtId="0" fontId="12" fillId="0" borderId="32" xfId="0" applyFont="1" applyBorder="1" applyAlignment="1">
      <alignment horizontal="center" vertical="center"/>
    </xf>
    <xf numFmtId="0" fontId="11" fillId="0" borderId="33" xfId="0" applyFont="1" applyBorder="1" applyAlignment="1">
      <alignment horizontal="left"/>
    </xf>
    <xf numFmtId="0" fontId="11" fillId="0" borderId="13" xfId="0" applyFont="1" applyBorder="1" applyAlignment="1">
      <alignment horizontal="left"/>
    </xf>
    <xf numFmtId="0" fontId="12" fillId="0" borderId="34" xfId="0" applyFont="1" applyBorder="1" applyAlignment="1">
      <alignment horizontal="center" vertical="center"/>
    </xf>
    <xf numFmtId="0" fontId="12" fillId="0" borderId="35" xfId="0" applyFont="1" applyBorder="1" applyAlignment="1">
      <alignment horizontal="center" vertical="center"/>
    </xf>
    <xf numFmtId="49" fontId="11" fillId="0" borderId="5" xfId="1" applyNumberFormat="1" applyFont="1" applyFill="1" applyBorder="1" applyAlignment="1">
      <alignment horizontal="center" vertical="center"/>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6" xfId="0" applyFont="1" applyBorder="1" applyAlignment="1">
      <alignment horizontal="center" vertical="center"/>
    </xf>
    <xf numFmtId="180" fontId="11" fillId="0" borderId="6" xfId="0" applyNumberFormat="1" applyFont="1" applyFill="1" applyBorder="1" applyAlignment="1">
      <alignment horizontal="center" vertical="center"/>
    </xf>
    <xf numFmtId="49" fontId="11" fillId="0" borderId="7" xfId="1" applyNumberFormat="1" applyFont="1" applyFill="1" applyBorder="1" applyAlignment="1">
      <alignment horizontal="center" vertical="center"/>
    </xf>
    <xf numFmtId="0" fontId="11" fillId="0" borderId="7" xfId="0" applyFont="1" applyBorder="1" applyAlignment="1">
      <alignment horizontal="center" vertical="center" wrapText="1"/>
    </xf>
    <xf numFmtId="0" fontId="11" fillId="0" borderId="6" xfId="0" applyFont="1" applyBorder="1" applyAlignment="1">
      <alignment horizontal="center" vertical="top" wrapText="1"/>
    </xf>
    <xf numFmtId="180" fontId="11" fillId="0" borderId="6" xfId="0" applyNumberFormat="1" applyFont="1" applyFill="1" applyBorder="1" applyAlignment="1">
      <alignment horizontal="center" vertical="center" wrapText="1"/>
    </xf>
    <xf numFmtId="0" fontId="11" fillId="0" borderId="5" xfId="0" applyFont="1" applyBorder="1" applyAlignment="1">
      <alignment horizontal="center" vertical="top" wrapText="1"/>
    </xf>
    <xf numFmtId="0" fontId="11" fillId="0" borderId="36" xfId="0" applyFont="1" applyBorder="1" applyAlignment="1">
      <alignment horizontal="center" vertical="center" wrapText="1"/>
    </xf>
    <xf numFmtId="49" fontId="11" fillId="0" borderId="9" xfId="1" applyNumberFormat="1" applyFont="1" applyFill="1" applyBorder="1" applyAlignment="1">
      <alignment horizontal="center" vertical="center"/>
    </xf>
    <xf numFmtId="0" fontId="11" fillId="0" borderId="9" xfId="0" applyFont="1" applyBorder="1" applyAlignment="1">
      <alignment horizontal="center" vertical="center" wrapText="1"/>
    </xf>
    <xf numFmtId="180" fontId="11" fillId="0" borderId="6" xfId="0" applyNumberFormat="1" applyFont="1" applyFill="1" applyBorder="1" applyAlignment="1">
      <alignment horizontal="center" vertical="top" wrapText="1"/>
    </xf>
    <xf numFmtId="180" fontId="12" fillId="0" borderId="6" xfId="0" applyNumberFormat="1" applyFont="1" applyFill="1" applyBorder="1" applyAlignment="1">
      <alignment horizontal="center" vertical="center"/>
    </xf>
    <xf numFmtId="180" fontId="11" fillId="0" borderId="9" xfId="0" applyNumberFormat="1" applyFont="1" applyFill="1" applyBorder="1" applyAlignment="1">
      <alignment horizontal="center" vertical="center"/>
    </xf>
    <xf numFmtId="180" fontId="11" fillId="0" borderId="9" xfId="0" applyNumberFormat="1" applyFont="1" applyFill="1" applyBorder="1" applyAlignment="1">
      <alignment horizontal="center" vertical="top" wrapText="1"/>
    </xf>
    <xf numFmtId="180" fontId="12" fillId="0" borderId="9" xfId="0" applyNumberFormat="1" applyFont="1" applyFill="1" applyBorder="1" applyAlignment="1">
      <alignment horizontal="center" vertical="center"/>
    </xf>
    <xf numFmtId="0" fontId="11" fillId="0" borderId="2" xfId="0" applyFont="1" applyBorder="1" applyAlignment="1">
      <alignment horizontal="center" vertical="center" wrapText="1"/>
    </xf>
    <xf numFmtId="0" fontId="11" fillId="0" borderId="37" xfId="0" applyFont="1" applyBorder="1" applyAlignment="1">
      <alignment horizontal="center" vertical="top" wrapText="1"/>
    </xf>
    <xf numFmtId="49" fontId="11" fillId="0" borderId="9" xfId="1" applyNumberFormat="1" applyFont="1" applyFill="1" applyBorder="1" applyAlignment="1">
      <alignment vertical="center"/>
    </xf>
    <xf numFmtId="0" fontId="12" fillId="0" borderId="9" xfId="0" applyFont="1" applyBorder="1" applyAlignment="1">
      <alignment vertical="center" wrapText="1"/>
    </xf>
    <xf numFmtId="0" fontId="11" fillId="0" borderId="8" xfId="0" applyFont="1" applyBorder="1" applyAlignment="1">
      <alignment horizontal="center" vertical="center" wrapText="1"/>
    </xf>
    <xf numFmtId="0" fontId="12" fillId="0" borderId="38" xfId="0" applyFont="1" applyBorder="1" applyAlignment="1">
      <alignment vertical="center"/>
    </xf>
    <xf numFmtId="0" fontId="11" fillId="0" borderId="8" xfId="0" applyFont="1" applyBorder="1" applyAlignment="1">
      <alignment horizontal="left" wrapText="1"/>
    </xf>
    <xf numFmtId="0" fontId="11" fillId="0" borderId="3" xfId="0" applyFont="1" applyBorder="1" applyAlignment="1">
      <alignment horizontal="left" wrapText="1"/>
    </xf>
    <xf numFmtId="0" fontId="11" fillId="0" borderId="24" xfId="0" applyFont="1" applyBorder="1" applyAlignment="1">
      <alignment horizontal="left" wrapText="1"/>
    </xf>
    <xf numFmtId="0" fontId="11" fillId="0" borderId="39" xfId="0" applyFont="1" applyBorder="1" applyAlignment="1">
      <alignment horizontal="left" wrapText="1"/>
    </xf>
    <xf numFmtId="0" fontId="12" fillId="0" borderId="7" xfId="0" applyFont="1" applyBorder="1" applyAlignment="1">
      <alignment horizontal="center" vertical="center"/>
    </xf>
    <xf numFmtId="49" fontId="11" fillId="0" borderId="17" xfId="1" applyNumberFormat="1" applyFont="1" applyFill="1" applyBorder="1" applyAlignment="1">
      <alignment horizontal="center" vertical="center"/>
    </xf>
    <xf numFmtId="0" fontId="11" fillId="0" borderId="40" xfId="0" applyFont="1" applyBorder="1" applyAlignment="1">
      <alignment horizontal="center" vertical="center" wrapText="1"/>
    </xf>
    <xf numFmtId="0" fontId="11" fillId="0" borderId="40" xfId="0" applyFont="1" applyBorder="1" applyAlignment="1">
      <alignment horizontal="left" vertical="center" wrapText="1"/>
    </xf>
    <xf numFmtId="0" fontId="11" fillId="0" borderId="40" xfId="0" applyFont="1" applyBorder="1" applyAlignment="1">
      <alignment horizontal="center" vertical="center"/>
    </xf>
    <xf numFmtId="180" fontId="11" fillId="0" borderId="40" xfId="0" applyNumberFormat="1" applyFont="1" applyFill="1" applyBorder="1" applyAlignment="1">
      <alignment horizontal="center" vertical="center"/>
    </xf>
    <xf numFmtId="49" fontId="11" fillId="0" borderId="23" xfId="1" applyNumberFormat="1" applyFont="1" applyFill="1" applyBorder="1" applyAlignment="1">
      <alignment horizontal="center" vertical="center"/>
    </xf>
    <xf numFmtId="0" fontId="11" fillId="0" borderId="6" xfId="0" applyFont="1" applyBorder="1" applyAlignment="1">
      <alignment horizontal="left" vertical="center" wrapText="1"/>
    </xf>
    <xf numFmtId="0" fontId="13" fillId="0" borderId="6" xfId="0" applyFont="1" applyBorder="1" applyAlignment="1">
      <alignment horizontal="left" vertical="center" wrapText="1"/>
    </xf>
    <xf numFmtId="180" fontId="14" fillId="0" borderId="6" xfId="0" applyNumberFormat="1" applyFont="1" applyFill="1" applyBorder="1" applyAlignment="1">
      <alignment horizontal="center" vertical="center"/>
    </xf>
    <xf numFmtId="49" fontId="11" fillId="0" borderId="41" xfId="1" applyNumberFormat="1" applyFont="1" applyFill="1" applyBorder="1" applyAlignment="1">
      <alignment horizontal="center" vertical="center"/>
    </xf>
    <xf numFmtId="0" fontId="13" fillId="0" borderId="36" xfId="0" applyFont="1" applyBorder="1" applyAlignment="1">
      <alignment horizontal="left" vertical="center" wrapText="1"/>
    </xf>
    <xf numFmtId="0" fontId="11" fillId="0" borderId="36" xfId="0" applyFont="1" applyBorder="1" applyAlignment="1">
      <alignment horizontal="center" vertical="top" wrapText="1"/>
    </xf>
    <xf numFmtId="180" fontId="11" fillId="0" borderId="36" xfId="0" applyNumberFormat="1" applyFont="1" applyFill="1" applyBorder="1" applyAlignment="1">
      <alignment horizontal="center" vertical="center"/>
    </xf>
    <xf numFmtId="180" fontId="11" fillId="0" borderId="36" xfId="0" applyNumberFormat="1" applyFont="1" applyFill="1" applyBorder="1" applyAlignment="1">
      <alignment horizontal="center" vertical="top" wrapText="1"/>
    </xf>
    <xf numFmtId="180" fontId="12" fillId="0" borderId="36" xfId="0" applyNumberFormat="1" applyFont="1" applyFill="1" applyBorder="1" applyAlignment="1">
      <alignment horizontal="center" vertical="center"/>
    </xf>
    <xf numFmtId="0" fontId="11" fillId="0" borderId="32" xfId="0" applyFont="1" applyBorder="1"/>
    <xf numFmtId="0" fontId="12" fillId="0" borderId="42" xfId="0" applyFont="1" applyBorder="1" applyAlignment="1">
      <alignment horizontal="right"/>
    </xf>
    <xf numFmtId="0" fontId="12" fillId="0" borderId="43" xfId="0" applyFont="1" applyBorder="1" applyAlignment="1">
      <alignment horizontal="right"/>
    </xf>
    <xf numFmtId="0" fontId="12" fillId="0" borderId="32" xfId="0" applyFont="1" applyBorder="1" applyAlignment="1">
      <alignment vertical="center"/>
    </xf>
    <xf numFmtId="180" fontId="12" fillId="0" borderId="42" xfId="0" applyNumberFormat="1" applyFont="1" applyFill="1" applyBorder="1" applyAlignment="1">
      <alignment horizontal="center" vertical="center"/>
    </xf>
    <xf numFmtId="0" fontId="11" fillId="0" borderId="18" xfId="0" applyFont="1" applyBorder="1" applyAlignment="1">
      <alignment horizontal="left" wrapText="1"/>
    </xf>
    <xf numFmtId="0" fontId="11" fillId="0" borderId="44" xfId="0" applyFont="1" applyBorder="1" applyAlignment="1">
      <alignment horizontal="left" wrapText="1"/>
    </xf>
    <xf numFmtId="0" fontId="12" fillId="0" borderId="34" xfId="0" applyFont="1" applyBorder="1" applyAlignment="1">
      <alignment horizontal="center" vertical="center" wrapText="1"/>
    </xf>
    <xf numFmtId="0" fontId="12" fillId="0" borderId="35" xfId="0" applyFont="1" applyBorder="1" applyAlignment="1">
      <alignment horizontal="center" vertical="center" wrapText="1"/>
    </xf>
    <xf numFmtId="0" fontId="11" fillId="0" borderId="35" xfId="0" applyFont="1" applyBorder="1" applyAlignment="1">
      <alignment horizontal="center" vertical="center" wrapText="1"/>
    </xf>
    <xf numFmtId="0" fontId="15" fillId="0" borderId="10" xfId="0" applyFont="1" applyBorder="1"/>
    <xf numFmtId="0" fontId="16" fillId="0" borderId="45" xfId="0" applyFont="1" applyBorder="1" applyAlignment="1">
      <alignment horizontal="right" vertical="top"/>
    </xf>
    <xf numFmtId="0" fontId="16" fillId="0" borderId="0" xfId="0" applyFont="1" applyAlignment="1">
      <alignment horizontal="right" vertical="top"/>
    </xf>
    <xf numFmtId="0" fontId="15" fillId="0" borderId="0" xfId="0" applyFont="1"/>
    <xf numFmtId="0" fontId="16" fillId="0" borderId="46" xfId="0" applyFont="1" applyBorder="1" applyAlignment="1">
      <alignment horizontal="right" vertical="top"/>
    </xf>
    <xf numFmtId="0" fontId="11" fillId="0" borderId="47" xfId="0" applyFont="1" applyBorder="1" applyAlignment="1">
      <alignment horizontal="center" vertical="center" wrapText="1"/>
    </xf>
    <xf numFmtId="0" fontId="11" fillId="0" borderId="48" xfId="0" applyFont="1" applyBorder="1" applyAlignment="1">
      <alignment horizontal="center" vertical="center" wrapText="1"/>
    </xf>
    <xf numFmtId="0" fontId="11" fillId="0" borderId="0" xfId="0" applyFont="1" applyAlignment="1">
      <alignment horizontal="center" vertical="center" wrapText="1"/>
    </xf>
    <xf numFmtId="0" fontId="11" fillId="0" borderId="49" xfId="0" applyFont="1" applyBorder="1" applyAlignment="1">
      <alignment horizontal="center" vertical="center" wrapText="1"/>
    </xf>
    <xf numFmtId="0" fontId="11" fillId="0" borderId="50" xfId="0" applyFont="1" applyBorder="1" applyAlignment="1">
      <alignment horizontal="center" vertical="center" wrapText="1"/>
    </xf>
    <xf numFmtId="0" fontId="11" fillId="0" borderId="0" xfId="0" applyFont="1" applyAlignment="1">
      <alignment horizontal="center"/>
    </xf>
    <xf numFmtId="0" fontId="11" fillId="0" borderId="51" xfId="0" applyFont="1" applyBorder="1" applyAlignment="1">
      <alignment horizontal="left"/>
    </xf>
    <xf numFmtId="0" fontId="11" fillId="0" borderId="0" xfId="0" applyFont="1" applyAlignment="1">
      <alignment horizontal="left"/>
    </xf>
    <xf numFmtId="0" fontId="11" fillId="0" borderId="52" xfId="0" applyFont="1" applyBorder="1" applyAlignment="1">
      <alignment horizontal="left"/>
    </xf>
    <xf numFmtId="0" fontId="12" fillId="0" borderId="53" xfId="0" applyFont="1" applyBorder="1" applyAlignment="1">
      <alignment horizontal="center" vertical="center"/>
    </xf>
    <xf numFmtId="0" fontId="12" fillId="0" borderId="0" xfId="0" applyFont="1" applyAlignment="1">
      <alignment horizontal="center" vertical="center"/>
    </xf>
    <xf numFmtId="0" fontId="11" fillId="0" borderId="0" xfId="0" applyFont="1" applyAlignment="1">
      <alignment horizontal="center" vertical="top" wrapText="1"/>
    </xf>
    <xf numFmtId="0" fontId="11" fillId="0" borderId="7" xfId="0" applyFont="1" applyBorder="1" applyAlignment="1">
      <alignment horizontal="center" vertical="top" wrapText="1"/>
    </xf>
    <xf numFmtId="0" fontId="11" fillId="0" borderId="9" xfId="0" applyFont="1" applyBorder="1" applyAlignment="1">
      <alignment horizontal="center" vertical="top" wrapText="1"/>
    </xf>
    <xf numFmtId="180" fontId="12" fillId="0" borderId="54" xfId="0" applyNumberFormat="1" applyFont="1" applyFill="1" applyBorder="1" applyAlignment="1">
      <alignment horizontal="center" vertical="center"/>
    </xf>
    <xf numFmtId="0" fontId="11" fillId="0" borderId="37" xfId="0" applyFont="1" applyBorder="1" applyAlignment="1">
      <alignment horizontal="center"/>
    </xf>
    <xf numFmtId="0" fontId="11" fillId="0" borderId="9" xfId="0" applyFont="1" applyBorder="1" applyAlignment="1">
      <alignment horizontal="center"/>
    </xf>
    <xf numFmtId="0" fontId="11" fillId="0" borderId="51" xfId="0" applyFont="1" applyBorder="1" applyAlignment="1">
      <alignment horizontal="left" wrapText="1"/>
    </xf>
    <xf numFmtId="0" fontId="11" fillId="0" borderId="0" xfId="0" applyFont="1" applyAlignment="1">
      <alignment horizontal="left" wrapText="1"/>
    </xf>
    <xf numFmtId="0" fontId="11" fillId="0" borderId="49" xfId="0" applyFont="1" applyBorder="1" applyAlignment="1">
      <alignment horizontal="left" wrapText="1"/>
    </xf>
    <xf numFmtId="0" fontId="12" fillId="0" borderId="55" xfId="0" applyFont="1" applyBorder="1" applyAlignment="1">
      <alignment horizontal="center" vertical="center"/>
    </xf>
    <xf numFmtId="0" fontId="11" fillId="0" borderId="40" xfId="0" applyFont="1" applyBorder="1" applyAlignment="1">
      <alignment horizontal="center" vertical="top" wrapText="1"/>
    </xf>
    <xf numFmtId="0" fontId="11" fillId="0" borderId="56" xfId="0" applyFont="1" applyBorder="1" applyAlignment="1">
      <alignment horizontal="center" vertical="top" wrapText="1"/>
    </xf>
    <xf numFmtId="0" fontId="11" fillId="0" borderId="57" xfId="0" applyFont="1" applyBorder="1" applyAlignment="1">
      <alignment horizontal="center" vertical="top" wrapText="1"/>
    </xf>
    <xf numFmtId="181" fontId="17" fillId="0" borderId="58" xfId="49" applyNumberFormat="1" applyFont="1" applyBorder="1" applyProtection="1">
      <protection hidden="1"/>
    </xf>
    <xf numFmtId="182" fontId="17" fillId="0" borderId="59" xfId="49" applyNumberFormat="1" applyFont="1" applyBorder="1" applyAlignment="1" applyProtection="1">
      <alignment horizontal="center" vertical="center"/>
      <protection hidden="1"/>
    </xf>
    <xf numFmtId="181" fontId="17" fillId="0" borderId="59" xfId="49" applyNumberFormat="1" applyFont="1" applyBorder="1" applyAlignment="1" applyProtection="1">
      <alignment horizontal="center" vertical="center"/>
      <protection hidden="1"/>
    </xf>
    <xf numFmtId="0" fontId="11" fillId="0" borderId="60" xfId="0" applyFont="1" applyBorder="1" applyAlignment="1">
      <alignment horizontal="center" vertical="top" wrapText="1"/>
    </xf>
    <xf numFmtId="180" fontId="12" fillId="0" borderId="61" xfId="0" applyNumberFormat="1" applyFont="1" applyFill="1" applyBorder="1" applyAlignment="1">
      <alignment horizontal="center" vertical="center"/>
    </xf>
    <xf numFmtId="0" fontId="11" fillId="0" borderId="62" xfId="0" applyFont="1" applyBorder="1" applyAlignment="1">
      <alignment horizontal="center"/>
    </xf>
    <xf numFmtId="0" fontId="11" fillId="0" borderId="61" xfId="0" applyFont="1" applyBorder="1" applyAlignment="1">
      <alignment horizontal="center"/>
    </xf>
    <xf numFmtId="0" fontId="11" fillId="0" borderId="48" xfId="0" applyFont="1" applyBorder="1" applyAlignment="1">
      <alignment horizontal="left" wrapText="1"/>
    </xf>
    <xf numFmtId="0" fontId="12" fillId="0" borderId="53" xfId="0" applyFont="1" applyBorder="1" applyAlignment="1">
      <alignment horizontal="center" vertical="center" wrapText="1"/>
    </xf>
    <xf numFmtId="0" fontId="12" fillId="0" borderId="0" xfId="0" applyFont="1" applyAlignment="1">
      <alignment horizontal="center" vertical="center" wrapText="1"/>
    </xf>
    <xf numFmtId="181" fontId="17" fillId="0" borderId="59" xfId="49" applyNumberFormat="1" applyFont="1" applyBorder="1" applyProtection="1">
      <protection hidden="1"/>
    </xf>
    <xf numFmtId="183" fontId="17" fillId="2" borderId="59" xfId="49" applyNumberFormat="1" applyFont="1" applyFill="1" applyBorder="1" applyProtection="1">
      <protection hidden="1"/>
    </xf>
    <xf numFmtId="183" fontId="17" fillId="0" borderId="59" xfId="49" applyNumberFormat="1" applyFont="1" applyBorder="1" applyProtection="1">
      <protection hidden="1"/>
    </xf>
    <xf numFmtId="180" fontId="7" fillId="0" borderId="0" xfId="0" applyNumberFormat="1" applyFont="1"/>
    <xf numFmtId="184" fontId="7" fillId="0" borderId="0" xfId="0" applyNumberFormat="1" applyFont="1"/>
    <xf numFmtId="183" fontId="17" fillId="0" borderId="63" xfId="49" applyNumberFormat="1" applyFont="1" applyBorder="1" applyProtection="1">
      <protection hidden="1"/>
    </xf>
    <xf numFmtId="0" fontId="11" fillId="0" borderId="42" xfId="0" applyFont="1" applyBorder="1" applyAlignment="1">
      <alignment horizontal="center" vertical="center" wrapText="1"/>
    </xf>
    <xf numFmtId="0" fontId="11" fillId="0" borderId="38" xfId="0" applyFont="1" applyBorder="1"/>
    <xf numFmtId="0" fontId="12" fillId="0" borderId="9" xfId="0" applyFont="1" applyBorder="1" applyAlignment="1">
      <alignment horizontal="right"/>
    </xf>
    <xf numFmtId="0" fontId="12" fillId="0" borderId="8" xfId="0" applyFont="1" applyBorder="1" applyAlignment="1">
      <alignment horizontal="right"/>
    </xf>
    <xf numFmtId="0" fontId="11" fillId="0" borderId="33" xfId="0" applyFont="1" applyBorder="1" applyAlignment="1">
      <alignment horizontal="left" wrapText="1"/>
    </xf>
    <xf numFmtId="0" fontId="11" fillId="0" borderId="13" xfId="0" applyFont="1" applyBorder="1" applyAlignment="1">
      <alignment horizontal="left" wrapText="1"/>
    </xf>
    <xf numFmtId="176" fontId="11" fillId="0" borderId="6" xfId="1" applyFont="1" applyFill="1" applyBorder="1" applyAlignment="1">
      <alignment horizontal="center" vertical="center"/>
    </xf>
    <xf numFmtId="49" fontId="11" fillId="0" borderId="6" xfId="1" applyNumberFormat="1" applyFont="1" applyFill="1" applyBorder="1" applyAlignment="1">
      <alignment horizontal="center" vertical="center"/>
    </xf>
    <xf numFmtId="0" fontId="11" fillId="0" borderId="9" xfId="0" applyFont="1" applyBorder="1" applyAlignment="1">
      <alignment horizontal="left" vertical="center" wrapText="1"/>
    </xf>
    <xf numFmtId="0" fontId="11" fillId="0" borderId="9" xfId="0" applyFont="1" applyBorder="1" applyAlignment="1">
      <alignment horizontal="center" vertical="center"/>
    </xf>
    <xf numFmtId="0" fontId="11" fillId="0" borderId="37" xfId="0" applyFont="1" applyBorder="1"/>
    <xf numFmtId="0" fontId="11" fillId="0" borderId="54" xfId="0" applyFont="1" applyBorder="1"/>
    <xf numFmtId="0" fontId="11" fillId="0" borderId="3" xfId="0" applyFont="1" applyBorder="1"/>
    <xf numFmtId="181" fontId="17" fillId="0" borderId="64" xfId="49" applyNumberFormat="1" applyFont="1" applyBorder="1" applyProtection="1">
      <protection hidden="1"/>
    </xf>
    <xf numFmtId="182" fontId="17" fillId="0" borderId="65" xfId="49" applyNumberFormat="1" applyFont="1" applyBorder="1" applyAlignment="1" applyProtection="1">
      <alignment horizontal="center" vertical="center"/>
      <protection hidden="1"/>
    </xf>
    <xf numFmtId="181" fontId="17" fillId="0" borderId="65" xfId="49" applyNumberFormat="1" applyFont="1" applyBorder="1" applyAlignment="1" applyProtection="1">
      <alignment horizontal="center" vertical="center"/>
      <protection hidden="1"/>
    </xf>
    <xf numFmtId="181" fontId="17" fillId="0" borderId="66" xfId="49" applyNumberFormat="1" applyFont="1" applyBorder="1" applyProtection="1">
      <protection hidden="1"/>
    </xf>
    <xf numFmtId="182" fontId="17" fillId="0" borderId="67" xfId="49" applyNumberFormat="1" applyFont="1" applyBorder="1" applyAlignment="1" applyProtection="1">
      <alignment horizontal="center" vertical="center"/>
      <protection hidden="1"/>
    </xf>
    <xf numFmtId="181" fontId="17" fillId="0" borderId="67" xfId="49" applyNumberFormat="1" applyFont="1" applyBorder="1" applyAlignment="1" applyProtection="1">
      <alignment horizontal="center" vertical="center"/>
      <protection hidden="1"/>
    </xf>
    <xf numFmtId="0" fontId="11" fillId="0" borderId="52" xfId="0" applyFont="1" applyBorder="1" applyAlignment="1">
      <alignment horizontal="left" wrapText="1"/>
    </xf>
    <xf numFmtId="0" fontId="11" fillId="0" borderId="35" xfId="0" applyFont="1" applyBorder="1" applyAlignment="1">
      <alignment horizontal="center" vertical="top" wrapText="1"/>
    </xf>
    <xf numFmtId="180" fontId="11" fillId="0" borderId="0" xfId="0" applyNumberFormat="1" applyFont="1" applyAlignment="1">
      <alignment horizontal="center" vertical="top" wrapText="1"/>
    </xf>
    <xf numFmtId="0" fontId="11" fillId="0" borderId="3" xfId="0" applyFont="1" applyBorder="1" applyAlignment="1">
      <alignment horizontal="center" vertical="top" wrapText="1"/>
    </xf>
    <xf numFmtId="181" fontId="17" fillId="0" borderId="65" xfId="49" applyNumberFormat="1" applyFont="1" applyBorder="1" applyProtection="1">
      <protection hidden="1"/>
    </xf>
    <xf numFmtId="183" fontId="17" fillId="0" borderId="65" xfId="49" applyNumberFormat="1" applyFont="1" applyBorder="1" applyProtection="1">
      <protection hidden="1"/>
    </xf>
    <xf numFmtId="183" fontId="17" fillId="0" borderId="68" xfId="49" applyNumberFormat="1" applyFont="1" applyBorder="1" applyProtection="1">
      <protection hidden="1"/>
    </xf>
    <xf numFmtId="181" fontId="17" fillId="0" borderId="67" xfId="49" applyNumberFormat="1" applyFont="1" applyBorder="1" applyProtection="1">
      <protection hidden="1"/>
    </xf>
    <xf numFmtId="183" fontId="17" fillId="0" borderId="67" xfId="49" applyNumberFormat="1" applyFont="1" applyBorder="1" applyProtection="1">
      <protection hidden="1"/>
    </xf>
    <xf numFmtId="183" fontId="17" fillId="0" borderId="0" xfId="49" applyNumberFormat="1" applyFont="1" applyProtection="1">
      <protection hidden="1"/>
    </xf>
    <xf numFmtId="183" fontId="17" fillId="0" borderId="0" xfId="49" applyNumberFormat="1" applyFont="1" applyBorder="1" applyProtection="1">
      <protection hidden="1"/>
    </xf>
    <xf numFmtId="185" fontId="18" fillId="0" borderId="69" xfId="49" applyNumberFormat="1" applyFont="1" applyBorder="1" applyAlignment="1" applyProtection="1">
      <alignment horizontal="left" vertical="center"/>
      <protection hidden="1"/>
    </xf>
    <xf numFmtId="183" fontId="19" fillId="0" borderId="59" xfId="49" applyNumberFormat="1" applyFont="1" applyBorder="1" applyProtection="1">
      <protection hidden="1"/>
    </xf>
    <xf numFmtId="183" fontId="18" fillId="0" borderId="70" xfId="49" applyNumberFormat="1" applyFont="1" applyBorder="1" applyProtection="1">
      <protection hidden="1"/>
    </xf>
    <xf numFmtId="49" fontId="11" fillId="0" borderId="29" xfId="1" applyNumberFormat="1" applyFont="1" applyFill="1" applyBorder="1" applyAlignment="1">
      <alignment horizontal="center" vertical="center"/>
    </xf>
    <xf numFmtId="49" fontId="11" fillId="0" borderId="31" xfId="1" applyNumberFormat="1" applyFont="1" applyFill="1" applyBorder="1" applyAlignment="1">
      <alignment horizontal="center" vertical="center"/>
    </xf>
    <xf numFmtId="0" fontId="11" fillId="0" borderId="6" xfId="0" applyFont="1" applyBorder="1" applyAlignment="1">
      <alignment horizontal="center" vertical="top"/>
    </xf>
    <xf numFmtId="49" fontId="11" fillId="0" borderId="38" xfId="1" applyNumberFormat="1" applyFont="1" applyFill="1" applyBorder="1" applyAlignment="1">
      <alignment horizontal="center" vertical="center"/>
    </xf>
    <xf numFmtId="0" fontId="11" fillId="0" borderId="6" xfId="0" applyFont="1" applyFill="1" applyBorder="1" applyAlignment="1">
      <alignment horizontal="center" vertical="center" wrapText="1"/>
    </xf>
    <xf numFmtId="180" fontId="20" fillId="0" borderId="6" xfId="0" applyNumberFormat="1" applyFont="1" applyFill="1" applyBorder="1" applyAlignment="1">
      <alignment horizontal="center" vertical="center"/>
    </xf>
    <xf numFmtId="0" fontId="11" fillId="0" borderId="11" xfId="0" applyFont="1" applyBorder="1" applyAlignment="1">
      <alignment horizontal="center" vertical="top" wrapText="1"/>
    </xf>
    <xf numFmtId="0" fontId="11" fillId="0" borderId="0" xfId="0" applyFont="1" applyBorder="1" applyAlignment="1">
      <alignment horizontal="center" vertical="top" wrapText="1"/>
    </xf>
    <xf numFmtId="186" fontId="11" fillId="0" borderId="6" xfId="0" applyNumberFormat="1" applyFont="1" applyBorder="1" applyAlignment="1">
      <alignment horizontal="center" vertical="center" wrapText="1"/>
    </xf>
    <xf numFmtId="186" fontId="11" fillId="0" borderId="6" xfId="0" applyNumberFormat="1" applyFont="1" applyBorder="1" applyAlignment="1">
      <alignment horizontal="center" vertical="top" wrapText="1"/>
    </xf>
    <xf numFmtId="180" fontId="12" fillId="2" borderId="6" xfId="0" applyNumberFormat="1" applyFont="1" applyFill="1" applyBorder="1" applyAlignment="1">
      <alignment horizontal="center" vertical="center"/>
    </xf>
    <xf numFmtId="186" fontId="11" fillId="0" borderId="6" xfId="0" applyNumberFormat="1" applyFont="1" applyFill="1" applyBorder="1" applyAlignment="1">
      <alignment horizontal="center" vertical="center" wrapText="1"/>
    </xf>
    <xf numFmtId="180" fontId="11" fillId="2" borderId="6" xfId="0" applyNumberFormat="1" applyFont="1" applyFill="1" applyBorder="1" applyAlignment="1">
      <alignment horizontal="center" vertical="center"/>
    </xf>
    <xf numFmtId="186" fontId="11" fillId="0" borderId="5" xfId="0" applyNumberFormat="1" applyFont="1" applyBorder="1" applyAlignment="1">
      <alignment horizontal="center" vertical="center" wrapText="1"/>
    </xf>
    <xf numFmtId="186" fontId="11" fillId="0" borderId="7" xfId="0" applyNumberFormat="1" applyFont="1" applyBorder="1" applyAlignment="1">
      <alignment horizontal="center" vertical="center" wrapText="1"/>
    </xf>
    <xf numFmtId="186" fontId="11" fillId="0" borderId="9" xfId="0" applyNumberFormat="1" applyFont="1" applyBorder="1" applyAlignment="1">
      <alignment horizontal="center" vertical="center" wrapText="1"/>
    </xf>
    <xf numFmtId="180" fontId="11" fillId="0" borderId="9" xfId="0" applyNumberFormat="1" applyFont="1" applyFill="1" applyBorder="1" applyAlignment="1">
      <alignment horizontal="center" vertical="center" wrapText="1"/>
    </xf>
    <xf numFmtId="180" fontId="12" fillId="0" borderId="6" xfId="0" applyNumberFormat="1" applyFont="1" applyFill="1" applyBorder="1" applyAlignment="1">
      <alignment horizontal="center" vertical="top" wrapText="1"/>
    </xf>
    <xf numFmtId="180" fontId="12" fillId="0" borderId="6" xfId="0" applyNumberFormat="1" applyFont="1" applyFill="1" applyBorder="1" applyAlignment="1">
      <alignment horizontal="center" vertical="center" wrapText="1"/>
    </xf>
    <xf numFmtId="0" fontId="11" fillId="0" borderId="13" xfId="0" applyFont="1" applyBorder="1" applyAlignment="1">
      <alignment horizontal="center" vertical="top" wrapText="1"/>
    </xf>
    <xf numFmtId="180" fontId="11" fillId="0" borderId="5" xfId="0" applyNumberFormat="1" applyFont="1" applyFill="1" applyBorder="1" applyAlignment="1">
      <alignment horizontal="center" vertical="center"/>
    </xf>
    <xf numFmtId="180" fontId="12" fillId="0" borderId="5" xfId="0" applyNumberFormat="1" applyFont="1" applyFill="1" applyBorder="1" applyAlignment="1">
      <alignment horizontal="center" vertical="center"/>
    </xf>
    <xf numFmtId="180" fontId="12" fillId="0" borderId="40" xfId="0" applyNumberFormat="1" applyFont="1" applyFill="1" applyBorder="1" applyAlignment="1">
      <alignment horizontal="center" vertical="center"/>
    </xf>
    <xf numFmtId="0" fontId="11" fillId="0" borderId="71" xfId="0" applyFont="1" applyBorder="1" applyAlignment="1">
      <alignment horizontal="center" vertical="top" wrapText="1"/>
    </xf>
    <xf numFmtId="0" fontId="11" fillId="0" borderId="54" xfId="0" applyFont="1" applyBorder="1" applyAlignment="1">
      <alignment horizontal="center" vertical="top" wrapText="1"/>
    </xf>
    <xf numFmtId="0" fontId="11" fillId="0" borderId="1" xfId="0" applyFont="1" applyBorder="1" applyAlignment="1">
      <alignment horizontal="center" vertical="top" wrapText="1"/>
    </xf>
    <xf numFmtId="0" fontId="11" fillId="0" borderId="9" xfId="0" applyFont="1" applyFill="1" applyBorder="1" applyAlignment="1">
      <alignment horizontal="center" vertical="top" wrapText="1"/>
    </xf>
    <xf numFmtId="0" fontId="11" fillId="0" borderId="6" xfId="0" applyFont="1" applyFill="1" applyBorder="1" applyAlignment="1">
      <alignment horizontal="center" vertical="top" wrapText="1"/>
    </xf>
    <xf numFmtId="49" fontId="11" fillId="0" borderId="32" xfId="1" applyNumberFormat="1" applyFont="1" applyFill="1" applyBorder="1" applyAlignment="1">
      <alignment horizontal="center" vertical="center"/>
    </xf>
    <xf numFmtId="0" fontId="11" fillId="0" borderId="42" xfId="0" applyFont="1" applyBorder="1" applyAlignment="1">
      <alignment horizontal="center" vertical="top" wrapText="1"/>
    </xf>
    <xf numFmtId="180" fontId="11" fillId="0" borderId="42" xfId="0" applyNumberFormat="1" applyFont="1" applyFill="1" applyBorder="1" applyAlignment="1">
      <alignment horizontal="center" vertical="center"/>
    </xf>
    <xf numFmtId="49" fontId="12" fillId="0" borderId="32" xfId="1" applyNumberFormat="1" applyFont="1" applyFill="1" applyBorder="1" applyAlignment="1">
      <alignment vertical="center"/>
    </xf>
    <xf numFmtId="0" fontId="12" fillId="0" borderId="42" xfId="0" applyFont="1" applyBorder="1" applyAlignment="1">
      <alignment horizontal="center" vertical="top" wrapText="1"/>
    </xf>
    <xf numFmtId="0" fontId="13" fillId="0" borderId="42" xfId="0" applyFont="1" applyBorder="1" applyAlignment="1">
      <alignment horizontal="center" vertical="top" wrapText="1"/>
    </xf>
    <xf numFmtId="180" fontId="12" fillId="0" borderId="42" xfId="0" applyNumberFormat="1" applyFont="1" applyFill="1" applyBorder="1" applyAlignment="1">
      <alignment horizontal="center" vertical="center" wrapText="1"/>
    </xf>
    <xf numFmtId="0" fontId="12" fillId="0" borderId="72" xfId="0" applyFont="1" applyBorder="1" applyAlignment="1">
      <alignment horizontal="center" vertical="center"/>
    </xf>
    <xf numFmtId="0" fontId="11" fillId="0" borderId="73" xfId="0" applyFont="1" applyBorder="1" applyAlignment="1">
      <alignment horizontal="left"/>
    </xf>
    <xf numFmtId="0" fontId="11" fillId="0" borderId="11" xfId="0" applyFont="1" applyBorder="1" applyAlignment="1">
      <alignment horizontal="left"/>
    </xf>
    <xf numFmtId="0" fontId="12" fillId="0" borderId="14" xfId="0" applyFont="1" applyBorder="1" applyAlignment="1">
      <alignment horizontal="center" vertical="center" wrapText="1"/>
    </xf>
    <xf numFmtId="0" fontId="12" fillId="0" borderId="10" xfId="0" applyFont="1" applyBorder="1" applyAlignment="1">
      <alignment horizontal="center" vertical="center" wrapText="1"/>
    </xf>
    <xf numFmtId="49" fontId="11" fillId="0" borderId="20" xfId="1" applyNumberFormat="1" applyFont="1" applyFill="1" applyBorder="1" applyAlignment="1">
      <alignment horizontal="center" vertical="center"/>
    </xf>
    <xf numFmtId="186" fontId="11" fillId="0" borderId="34" xfId="0" applyNumberFormat="1" applyFont="1" applyBorder="1" applyAlignment="1">
      <alignment horizontal="center" vertical="center" wrapText="1"/>
    </xf>
    <xf numFmtId="186" fontId="11" fillId="0" borderId="18" xfId="0" applyNumberFormat="1" applyFont="1" applyBorder="1" applyAlignment="1">
      <alignment horizontal="center" vertical="top" wrapText="1"/>
    </xf>
    <xf numFmtId="0" fontId="11" fillId="0" borderId="17" xfId="0" applyFont="1" applyBorder="1" applyAlignment="1">
      <alignment horizontal="center" vertical="center"/>
    </xf>
    <xf numFmtId="49" fontId="11" fillId="0" borderId="26" xfId="1" applyNumberFormat="1" applyFont="1" applyFill="1" applyBorder="1" applyAlignment="1">
      <alignment horizontal="center" vertical="center"/>
    </xf>
    <xf numFmtId="186" fontId="11" fillId="0" borderId="31" xfId="0" applyNumberFormat="1" applyFont="1" applyBorder="1" applyAlignment="1">
      <alignment horizontal="center" vertical="center" wrapText="1"/>
    </xf>
    <xf numFmtId="0" fontId="11" fillId="0" borderId="24" xfId="0" applyFont="1" applyBorder="1" applyAlignment="1">
      <alignment horizontal="center" vertical="top" wrapText="1"/>
    </xf>
    <xf numFmtId="0" fontId="11" fillId="0" borderId="23" xfId="0" applyFont="1" applyBorder="1" applyAlignment="1">
      <alignment horizontal="center" vertical="center"/>
    </xf>
    <xf numFmtId="0" fontId="11" fillId="0" borderId="23" xfId="0" applyFont="1" applyBorder="1" applyAlignment="1">
      <alignment horizontal="center" vertical="top" wrapText="1"/>
    </xf>
    <xf numFmtId="0" fontId="13" fillId="0" borderId="24" xfId="0" applyFont="1" applyBorder="1" applyAlignment="1">
      <alignment horizontal="center" vertical="top" wrapText="1"/>
    </xf>
    <xf numFmtId="0" fontId="13" fillId="0" borderId="4" xfId="0" applyFont="1" applyBorder="1" applyAlignment="1">
      <alignment horizontal="center" vertical="top" wrapText="1"/>
    </xf>
    <xf numFmtId="0" fontId="13" fillId="0" borderId="2" xfId="0" applyFont="1" applyBorder="1" applyAlignment="1">
      <alignment horizontal="center" vertical="top" wrapText="1"/>
    </xf>
    <xf numFmtId="0" fontId="11" fillId="0" borderId="29" xfId="0" applyFont="1" applyBorder="1" applyAlignment="1">
      <alignment horizontal="center" vertical="top" wrapText="1"/>
    </xf>
    <xf numFmtId="180" fontId="11" fillId="0" borderId="5" xfId="0" applyNumberFormat="1" applyFont="1" applyFill="1" applyBorder="1" applyAlignment="1">
      <alignment horizontal="center" vertical="top" wrapText="1"/>
    </xf>
    <xf numFmtId="180" fontId="12" fillId="2" borderId="5" xfId="0" applyNumberFormat="1" applyFont="1" applyFill="1" applyBorder="1" applyAlignment="1">
      <alignment horizontal="center" vertical="center"/>
    </xf>
    <xf numFmtId="0" fontId="13" fillId="0" borderId="8" xfId="0" applyFont="1" applyBorder="1" applyAlignment="1">
      <alignment horizontal="center" vertical="top" wrapText="1"/>
    </xf>
    <xf numFmtId="186" fontId="11" fillId="0" borderId="38" xfId="0" applyNumberFormat="1" applyFont="1" applyBorder="1" applyAlignment="1">
      <alignment horizontal="center" vertical="center" wrapText="1"/>
    </xf>
    <xf numFmtId="0" fontId="11" fillId="0" borderId="38" xfId="0" applyFont="1" applyBorder="1" applyAlignment="1">
      <alignment horizontal="center" vertical="top" wrapText="1"/>
    </xf>
    <xf numFmtId="186" fontId="11" fillId="0" borderId="15" xfId="0" applyNumberFormat="1" applyFont="1" applyBorder="1" applyAlignment="1">
      <alignment horizontal="center" vertical="center" wrapText="1"/>
    </xf>
    <xf numFmtId="186" fontId="11" fillId="0" borderId="8" xfId="0" applyNumberFormat="1" applyFont="1" applyBorder="1" applyAlignment="1">
      <alignment horizontal="center" vertical="top" wrapText="1"/>
    </xf>
    <xf numFmtId="0" fontId="11" fillId="0" borderId="38" xfId="0" applyFont="1" applyBorder="1" applyAlignment="1">
      <alignment horizontal="center" vertical="center"/>
    </xf>
    <xf numFmtId="49" fontId="11" fillId="0" borderId="74" xfId="1" applyNumberFormat="1" applyFont="1" applyFill="1" applyBorder="1" applyAlignment="1">
      <alignment horizontal="center" vertical="center"/>
    </xf>
    <xf numFmtId="186" fontId="11" fillId="0" borderId="27" xfId="0" applyNumberFormat="1" applyFont="1" applyBorder="1" applyAlignment="1">
      <alignment horizontal="center" vertical="center" wrapText="1"/>
    </xf>
    <xf numFmtId="0" fontId="13" fillId="0" borderId="39" xfId="0" applyFont="1" applyBorder="1" applyAlignment="1">
      <alignment horizontal="center" vertical="top" wrapText="1"/>
    </xf>
    <xf numFmtId="49" fontId="11" fillId="0" borderId="25" xfId="1" applyNumberFormat="1" applyFont="1" applyFill="1" applyBorder="1" applyAlignment="1">
      <alignment vertical="center"/>
    </xf>
    <xf numFmtId="186" fontId="11" fillId="0" borderId="39" xfId="0" applyNumberFormat="1" applyFont="1" applyBorder="1" applyAlignment="1">
      <alignment vertical="center" wrapText="1"/>
    </xf>
    <xf numFmtId="0" fontId="12" fillId="0" borderId="39" xfId="0" applyFont="1" applyBorder="1" applyAlignment="1">
      <alignment horizontal="center" vertical="center" wrapText="1"/>
    </xf>
    <xf numFmtId="0" fontId="12" fillId="0" borderId="23" xfId="0" applyFont="1" applyBorder="1" applyAlignment="1">
      <alignment horizontal="center" vertical="center" wrapText="1"/>
    </xf>
    <xf numFmtId="0" fontId="11" fillId="0" borderId="26" xfId="0" applyFont="1" applyBorder="1" applyAlignment="1">
      <alignment horizontal="center"/>
    </xf>
    <xf numFmtId="0" fontId="12" fillId="0" borderId="51" xfId="0" applyFont="1" applyBorder="1" applyAlignment="1">
      <alignment horizontal="center" vertical="center"/>
    </xf>
    <xf numFmtId="0" fontId="12" fillId="0" borderId="3" xfId="0" applyFont="1" applyBorder="1" applyAlignment="1">
      <alignment horizontal="right" vertical="top"/>
    </xf>
    <xf numFmtId="0" fontId="12" fillId="0" borderId="38" xfId="0" applyFont="1" applyBorder="1" applyAlignment="1">
      <alignment horizontal="center" vertical="top" wrapText="1"/>
    </xf>
    <xf numFmtId="180" fontId="12" fillId="0" borderId="9" xfId="0" applyNumberFormat="1" applyFont="1" applyFill="1" applyBorder="1" applyAlignment="1">
      <alignment horizontal="center" vertical="top" wrapText="1"/>
    </xf>
    <xf numFmtId="0" fontId="12" fillId="0" borderId="49" xfId="0" applyFont="1" applyBorder="1" applyAlignment="1">
      <alignment horizontal="center" vertical="center"/>
    </xf>
    <xf numFmtId="0" fontId="12" fillId="0" borderId="39" xfId="0" applyFont="1" applyBorder="1" applyAlignment="1">
      <alignment horizontal="right" vertical="top"/>
    </xf>
    <xf numFmtId="0" fontId="12" fillId="0" borderId="23" xfId="0" applyFont="1" applyBorder="1" applyAlignment="1">
      <alignment horizontal="center" vertical="top"/>
    </xf>
    <xf numFmtId="0" fontId="12" fillId="0" borderId="39" xfId="0" applyFont="1" applyBorder="1"/>
    <xf numFmtId="0" fontId="12" fillId="0" borderId="23" xfId="0" applyFont="1" applyBorder="1" applyAlignment="1">
      <alignment horizontal="center"/>
    </xf>
    <xf numFmtId="180" fontId="12" fillId="0" borderId="5" xfId="0" applyNumberFormat="1" applyFont="1" applyFill="1" applyBorder="1" applyAlignment="1">
      <alignment horizontal="center" vertical="top" wrapText="1"/>
    </xf>
    <xf numFmtId="0" fontId="12" fillId="0" borderId="50" xfId="0" applyFont="1" applyBorder="1" applyAlignment="1">
      <alignment horizontal="center" vertical="center"/>
    </xf>
    <xf numFmtId="0" fontId="12" fillId="0" borderId="1" xfId="0" applyFont="1" applyBorder="1"/>
    <xf numFmtId="0" fontId="12" fillId="0" borderId="31" xfId="0" applyFont="1" applyBorder="1" applyAlignment="1">
      <alignment horizontal="center"/>
    </xf>
    <xf numFmtId="0" fontId="12" fillId="0" borderId="41" xfId="0" applyFont="1" applyBorder="1" applyAlignment="1">
      <alignment horizontal="center"/>
    </xf>
    <xf numFmtId="180" fontId="12" fillId="0" borderId="36" xfId="0" applyNumberFormat="1" applyFont="1" applyFill="1" applyBorder="1" applyAlignment="1">
      <alignment horizontal="center" vertical="top" wrapText="1"/>
    </xf>
    <xf numFmtId="180" fontId="12" fillId="0" borderId="7" xfId="0" applyNumberFormat="1" applyFont="1" applyFill="1" applyBorder="1" applyAlignment="1">
      <alignment horizontal="center" vertical="top" wrapText="1"/>
    </xf>
    <xf numFmtId="0" fontId="11" fillId="0" borderId="72" xfId="0" applyFont="1" applyBorder="1" applyAlignment="1">
      <alignment horizontal="center"/>
    </xf>
    <xf numFmtId="0" fontId="12" fillId="0" borderId="75" xfId="0" applyFont="1" applyBorder="1" applyAlignment="1">
      <alignment horizontal="center" vertical="center" wrapText="1"/>
    </xf>
    <xf numFmtId="180" fontId="12" fillId="0" borderId="76" xfId="0" applyNumberFormat="1" applyFont="1" applyFill="1" applyBorder="1" applyAlignment="1">
      <alignment horizontal="center"/>
    </xf>
    <xf numFmtId="0" fontId="21" fillId="0" borderId="0" xfId="0" applyFont="1" applyAlignment="1">
      <alignment horizontal="center"/>
    </xf>
    <xf numFmtId="0" fontId="22" fillId="0" borderId="0" xfId="0" applyFont="1" applyAlignment="1">
      <alignment horizontal="center" vertical="center"/>
    </xf>
    <xf numFmtId="0" fontId="23" fillId="0" borderId="0" xfId="0" applyFont="1" applyAlignment="1">
      <alignment horizontal="right" vertical="top"/>
    </xf>
    <xf numFmtId="180" fontId="22" fillId="0" borderId="0" xfId="0" applyNumberFormat="1" applyFont="1" applyFill="1"/>
    <xf numFmtId="180" fontId="23" fillId="0" borderId="0" xfId="0" applyNumberFormat="1" applyFont="1" applyFill="1"/>
    <xf numFmtId="0" fontId="11" fillId="0" borderId="0" xfId="0" applyFont="1" applyAlignment="1">
      <alignment horizontal="left" vertical="top" wrapText="1"/>
    </xf>
    <xf numFmtId="0" fontId="24" fillId="0" borderId="0" xfId="0" applyFont="1" applyAlignment="1">
      <alignment horizontal="left" vertical="center" wrapText="1"/>
    </xf>
    <xf numFmtId="0" fontId="25" fillId="0" borderId="0" xfId="0" applyFont="1" applyAlignment="1">
      <alignment horizontal="left" vertical="center" wrapText="1"/>
    </xf>
    <xf numFmtId="0" fontId="25" fillId="0" borderId="0" xfId="0" applyFont="1" applyFill="1" applyAlignment="1">
      <alignment horizontal="left" vertical="top" wrapText="1"/>
    </xf>
    <xf numFmtId="0" fontId="24" fillId="0" borderId="0" xfId="0" applyFont="1" applyAlignment="1">
      <alignment horizontal="center" vertical="center" wrapText="1"/>
    </xf>
    <xf numFmtId="0" fontId="24" fillId="0" borderId="0" xfId="0" applyFont="1" applyFill="1" applyAlignment="1">
      <alignment vertical="center" wrapText="1"/>
    </xf>
    <xf numFmtId="0" fontId="25" fillId="0" borderId="0" xfId="0" applyFont="1" applyAlignment="1">
      <alignment vertical="center"/>
    </xf>
    <xf numFmtId="0" fontId="16" fillId="0" borderId="0" xfId="0" applyFont="1" applyAlignment="1">
      <alignment vertical="center"/>
    </xf>
    <xf numFmtId="0" fontId="25" fillId="0" borderId="0" xfId="0" applyFont="1" applyFill="1" applyAlignment="1">
      <alignment vertical="center"/>
    </xf>
    <xf numFmtId="0" fontId="11" fillId="0" borderId="5" xfId="0" applyFont="1" applyFill="1" applyBorder="1" applyAlignment="1">
      <alignment horizontal="center" vertical="top" wrapText="1"/>
    </xf>
    <xf numFmtId="0" fontId="11" fillId="0" borderId="7" xfId="0" applyFont="1" applyFill="1" applyBorder="1" applyAlignment="1">
      <alignment horizontal="center" vertical="top" wrapText="1"/>
    </xf>
    <xf numFmtId="0" fontId="11" fillId="0" borderId="55" xfId="0" applyFont="1" applyBorder="1" applyAlignment="1">
      <alignment horizontal="center" vertical="top" wrapText="1"/>
    </xf>
    <xf numFmtId="0" fontId="11" fillId="0" borderId="42" xfId="0" applyFont="1" applyFill="1" applyBorder="1" applyAlignment="1">
      <alignment horizontal="center" vertical="top" wrapText="1"/>
    </xf>
    <xf numFmtId="0" fontId="11" fillId="0" borderId="61" xfId="0" applyFont="1" applyBorder="1" applyAlignment="1">
      <alignment horizontal="center" vertical="top" wrapText="1"/>
    </xf>
    <xf numFmtId="0" fontId="11" fillId="0" borderId="42" xfId="0" applyFont="1" applyBorder="1" applyAlignment="1">
      <alignment vertical="top" wrapText="1"/>
    </xf>
    <xf numFmtId="0" fontId="11" fillId="0" borderId="61" xfId="0" applyFont="1" applyBorder="1" applyAlignment="1">
      <alignment vertical="top" wrapText="1"/>
    </xf>
    <xf numFmtId="0" fontId="11" fillId="0" borderId="0" xfId="0" applyFont="1" applyAlignment="1">
      <alignment vertical="top" wrapText="1"/>
    </xf>
    <xf numFmtId="0" fontId="11" fillId="0" borderId="77" xfId="0" applyFont="1" applyBorder="1" applyAlignment="1">
      <alignment horizontal="left"/>
    </xf>
    <xf numFmtId="0" fontId="12" fillId="0" borderId="45" xfId="0" applyFont="1" applyBorder="1" applyAlignment="1">
      <alignment horizontal="center" vertical="center" wrapText="1"/>
    </xf>
    <xf numFmtId="180" fontId="11" fillId="0" borderId="56" xfId="0" applyNumberFormat="1" applyFont="1" applyFill="1" applyBorder="1" applyAlignment="1">
      <alignment horizontal="center" vertical="center"/>
    </xf>
    <xf numFmtId="0" fontId="11" fillId="0" borderId="34" xfId="0" applyFont="1" applyBorder="1" applyAlignment="1">
      <alignment horizontal="center" vertical="top" wrapText="1"/>
    </xf>
    <xf numFmtId="0" fontId="11" fillId="0" borderId="78" xfId="0" applyFont="1" applyBorder="1" applyAlignment="1">
      <alignment horizontal="center" vertical="top" wrapText="1"/>
    </xf>
    <xf numFmtId="180" fontId="11" fillId="0" borderId="57" xfId="0" applyNumberFormat="1" applyFont="1" applyFill="1" applyBorder="1" applyAlignment="1">
      <alignment horizontal="center" vertical="center"/>
    </xf>
    <xf numFmtId="0" fontId="11" fillId="0" borderId="31" xfId="0" applyFont="1" applyBorder="1" applyAlignment="1">
      <alignment horizontal="center" vertical="top" wrapText="1"/>
    </xf>
    <xf numFmtId="0" fontId="11" fillId="0" borderId="2" xfId="0" applyFont="1" applyBorder="1" applyAlignment="1">
      <alignment horizontal="center" vertical="top" wrapText="1"/>
    </xf>
    <xf numFmtId="180" fontId="11" fillId="0" borderId="71" xfId="0" applyNumberFormat="1" applyFont="1" applyFill="1" applyBorder="1" applyAlignment="1">
      <alignment horizontal="center" vertical="center"/>
    </xf>
    <xf numFmtId="180" fontId="11" fillId="0" borderId="54" xfId="0" applyNumberFormat="1" applyFont="1" applyFill="1" applyBorder="1" applyAlignment="1">
      <alignment horizontal="center" vertical="center"/>
    </xf>
    <xf numFmtId="0" fontId="11" fillId="0" borderId="8" xfId="0" applyFont="1" applyBorder="1" applyAlignment="1">
      <alignment horizontal="center" vertical="top" wrapText="1"/>
    </xf>
    <xf numFmtId="180" fontId="12" fillId="0" borderId="57" xfId="0" applyNumberFormat="1" applyFont="1" applyFill="1" applyBorder="1" applyAlignment="1">
      <alignment horizontal="center" vertical="center" wrapText="1"/>
    </xf>
    <xf numFmtId="0" fontId="11" fillId="0" borderId="23" xfId="0" applyFont="1" applyBorder="1" applyAlignment="1">
      <alignment vertical="top" wrapText="1"/>
    </xf>
    <xf numFmtId="0" fontId="11" fillId="0" borderId="6" xfId="0" applyFont="1" applyBorder="1" applyAlignment="1">
      <alignment vertical="top" wrapText="1"/>
    </xf>
    <xf numFmtId="180" fontId="12" fillId="0" borderId="54" xfId="0" applyNumberFormat="1" applyFont="1" applyFill="1" applyBorder="1" applyAlignment="1">
      <alignment horizontal="center" vertical="top" wrapText="1"/>
    </xf>
    <xf numFmtId="0" fontId="11" fillId="0" borderId="37" xfId="0" applyFont="1" applyBorder="1" applyAlignment="1">
      <alignment horizontal="center" vertical="top"/>
    </xf>
    <xf numFmtId="0" fontId="11" fillId="0" borderId="9" xfId="0" applyFont="1" applyBorder="1" applyAlignment="1">
      <alignment horizontal="center" vertical="top"/>
    </xf>
    <xf numFmtId="0" fontId="11" fillId="0" borderId="0" xfId="0" applyFont="1" applyAlignment="1">
      <alignment horizontal="center" vertical="top"/>
    </xf>
    <xf numFmtId="180" fontId="12" fillId="0" borderId="57" xfId="0" applyNumberFormat="1" applyFont="1" applyFill="1" applyBorder="1" applyAlignment="1">
      <alignment horizontal="center" vertical="top" wrapText="1"/>
    </xf>
    <xf numFmtId="0" fontId="11" fillId="0" borderId="79" xfId="0" applyFont="1" applyBorder="1" applyAlignment="1">
      <alignment horizontal="center" vertical="top"/>
    </xf>
    <xf numFmtId="180" fontId="12" fillId="0" borderId="71" xfId="0" applyNumberFormat="1" applyFont="1" applyFill="1" applyBorder="1" applyAlignment="1">
      <alignment horizontal="center" vertical="top" wrapText="1"/>
    </xf>
    <xf numFmtId="0" fontId="11" fillId="0" borderId="80" xfId="0" applyFont="1" applyBorder="1" applyAlignment="1">
      <alignment horizontal="center" vertical="top"/>
    </xf>
    <xf numFmtId="0" fontId="11" fillId="0" borderId="5" xfId="0" applyFont="1" applyBorder="1" applyAlignment="1">
      <alignment horizontal="center" vertical="top"/>
    </xf>
    <xf numFmtId="180" fontId="12" fillId="0" borderId="60" xfId="0" applyNumberFormat="1" applyFont="1" applyFill="1" applyBorder="1" applyAlignment="1">
      <alignment horizontal="center" vertical="top" wrapText="1"/>
    </xf>
    <xf numFmtId="180" fontId="12" fillId="0" borderId="81" xfId="0" applyNumberFormat="1" applyFont="1" applyFill="1" applyBorder="1" applyAlignment="1">
      <alignment horizontal="center"/>
    </xf>
    <xf numFmtId="0" fontId="21" fillId="0" borderId="0" xfId="0" applyFont="1" applyAlignment="1">
      <alignment horizontal="center" vertical="top"/>
    </xf>
    <xf numFmtId="0" fontId="25" fillId="0" borderId="0" xfId="0" applyFont="1" applyAlignment="1">
      <alignment horizontal="left" vertical="top" wrapText="1"/>
    </xf>
    <xf numFmtId="0" fontId="24" fillId="0" borderId="0" xfId="0" applyFont="1" applyAlignment="1">
      <alignment horizontal="center" vertical="center"/>
    </xf>
    <xf numFmtId="0" fontId="25" fillId="0" borderId="0" xfId="0" applyFont="1"/>
    <xf numFmtId="0" fontId="16" fillId="0" borderId="0" xfId="0" applyFont="1" applyAlignment="1">
      <alignment horizontal="center" vertical="center"/>
    </xf>
    <xf numFmtId="0" fontId="12" fillId="0" borderId="42" xfId="0" applyFont="1" applyBorder="1" applyAlignment="1" quotePrefix="1">
      <alignment horizontal="center" vertical="top" wrapText="1"/>
    </xf>
  </cellXfs>
  <cellStyles count="50">
    <cellStyle name="Обычный" xfId="0" builtinId="0"/>
    <cellStyle name="Запятая" xfId="1" builtinId="3"/>
    <cellStyle name="Денежный" xfId="2" builtinId="4"/>
    <cellStyle name="Процент" xfId="3" builtinId="5"/>
    <cellStyle name="Запятая [0]" xfId="4" builtinId="6"/>
    <cellStyle name="Денежный [0]" xfId="5" builtinId="7"/>
    <cellStyle name="Гиперссылка" xfId="6" builtinId="8"/>
    <cellStyle name="Открывавшаяся гиперссылка" xfId="7" builtinId="9"/>
    <cellStyle name="Примечание" xfId="8" builtinId="10"/>
    <cellStyle name="Предупреждающий текст" xfId="9" builtinId="11"/>
    <cellStyle name="Заголовок" xfId="10" builtinId="15"/>
    <cellStyle name="Пояснительный текст" xfId="11" builtinId="53"/>
    <cellStyle name="Заголовок 1" xfId="12" builtinId="16"/>
    <cellStyle name="Заголовок 2" xfId="13" builtinId="17"/>
    <cellStyle name="Заголовок 3" xfId="14" builtinId="18"/>
    <cellStyle name="Заголовок 4" xfId="15" builtinId="19"/>
    <cellStyle name="Ввод" xfId="16" builtinId="20"/>
    <cellStyle name="Вывод" xfId="17" builtinId="21"/>
    <cellStyle name="Вычисление" xfId="18" builtinId="22"/>
    <cellStyle name="Проверить ячейку" xfId="19" builtinId="23"/>
    <cellStyle name="Связанная ячейка" xfId="20" builtinId="24"/>
    <cellStyle name="Итого" xfId="21" builtinId="25"/>
    <cellStyle name="Хороший" xfId="22" builtinId="26"/>
    <cellStyle name="Плохой" xfId="23" builtinId="27"/>
    <cellStyle name="Нейтральный" xfId="24" builtinId="28"/>
    <cellStyle name="Акцент1" xfId="25" builtinId="29"/>
    <cellStyle name="20% — Акцент1" xfId="26" builtinId="30"/>
    <cellStyle name="40% — Акцент1" xfId="27" builtinId="31"/>
    <cellStyle name="60% — Акцент1" xfId="28" builtinId="32"/>
    <cellStyle name="Акцент2" xfId="29" builtinId="33"/>
    <cellStyle name="20% — Акцент2" xfId="30" builtinId="34"/>
    <cellStyle name="40% — Акцент2" xfId="31" builtinId="35"/>
    <cellStyle name="60% — Акцент2" xfId="32" builtinId="36"/>
    <cellStyle name="Акцент3" xfId="33" builtinId="37"/>
    <cellStyle name="20% — Акцент3" xfId="34" builtinId="38"/>
    <cellStyle name="40% — Акцент3" xfId="35" builtinId="39"/>
    <cellStyle name="60% — Акцент3" xfId="36" builtinId="40"/>
    <cellStyle name="Акцент4" xfId="37" builtinId="41"/>
    <cellStyle name="20% — Акцент4" xfId="38" builtinId="42"/>
    <cellStyle name="40% — Акцент4" xfId="39" builtinId="43"/>
    <cellStyle name="60% — Акцент4" xfId="40" builtinId="44"/>
    <cellStyle name="Акцент5" xfId="41" builtinId="45"/>
    <cellStyle name="20% — Акцент5" xfId="42" builtinId="46"/>
    <cellStyle name="40% — Акцент5" xfId="43" builtinId="47"/>
    <cellStyle name="60% — Акцент5" xfId="44" builtinId="48"/>
    <cellStyle name="Акцент6" xfId="45" builtinId="49"/>
    <cellStyle name="20% — Акцент6" xfId="46" builtinId="50"/>
    <cellStyle name="40% — Акцент6" xfId="47" builtinId="51"/>
    <cellStyle name="60% — Акцент6" xfId="48" builtinId="52"/>
    <cellStyle name="Обычный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1050;&#1072;&#1073;&#1080;&#1085;&#1077;&#1090;%20&#8470;%205.1%20&#1090;.107\&#1053;&#1077;&#1090;&#1077;&#1089;&#1086;&#1074;&#1072;%20&#1048;.&#1054;\&#1052;&#1055;%20&#1056;&#1040;&#1047;&#1042;&#1048;&#1058;&#1048;&#1045;%20&#1054;&#1041;&#1056;&#1040;&#1047;&#1054;&#1042;&#1040;&#1053;&#1048;&#1071;%202020-2024\&#1052;&#1055;%20&#1056;&#1072;&#1079;&#1074;&#1080;&#1090;&#1080;&#1077;%20&#1086;&#1073;&#1088;&#1072;&#1079;&#1086;&#1074;&#1072;&#1085;&#1080;&#1103;%202025%20&#1075;&#1086;&#1076;\06.%20&#1057;&#1077;&#1085;&#1090;&#1103;&#1073;&#1088;&#1100;\&#1073;&#1099;&#1083;&#1086;%20&#1055;&#1088;&#1080;&#1083;&#1086;&#1078;&#1077;&#1085;&#1080;&#1077;&#8470;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Лист1 "/>
      <sheetName val="Лист2"/>
    </sheetNames>
    <sheetDataSet>
      <sheetData sheetId="0">
        <row r="78">
          <cell r="E78">
            <v>395684.1</v>
          </cell>
        </row>
      </sheetData>
      <sheetData sheetId="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1080"/>
  <sheetViews>
    <sheetView tabSelected="1" view="pageBreakPreview" zoomScale="90" zoomScaleNormal="90" defaultGridColor="0" colorId="24" topLeftCell="A11" workbookViewId="0">
      <selection activeCell="B406" sqref="B406:B408"/>
    </sheetView>
  </sheetViews>
  <sheetFormatPr defaultColWidth="9" defaultRowHeight="18.75"/>
  <cols>
    <col min="1" max="1" width="5.42857142857143" style="33" customWidth="1"/>
    <col min="2" max="2" width="71.1428571428571" style="34" customWidth="1"/>
    <col min="3" max="3" width="21" style="33" hidden="1" customWidth="1"/>
    <col min="4" max="4" width="15" style="33" customWidth="1"/>
    <col min="5" max="5" width="18.2857142857143" style="35" customWidth="1"/>
    <col min="6" max="6" width="15.1428571428571" style="35" customWidth="1"/>
    <col min="7" max="7" width="17.5714285714286" style="35" customWidth="1"/>
    <col min="8" max="8" width="16.1428571428571" style="35" customWidth="1"/>
    <col min="9" max="9" width="14.2857142857143" style="35" customWidth="1"/>
    <col min="10" max="10" width="16.4285714285714" style="35" customWidth="1"/>
    <col min="11" max="11" width="33.2857142857143" style="33" customWidth="1"/>
    <col min="12" max="13" width="30.2857142857143" style="33" customWidth="1"/>
    <col min="14" max="17" width="9.14285714285714" style="33"/>
    <col min="18" max="18" width="16.7142857142857" style="33" customWidth="1"/>
    <col min="19" max="19" width="18.1428571428571" style="33" customWidth="1"/>
    <col min="20" max="20" width="20.1428571428571" style="33" customWidth="1"/>
    <col min="21" max="21" width="9.14285714285714" style="33"/>
    <col min="22" max="22" width="16" style="33" customWidth="1"/>
    <col min="23" max="23" width="15.4285714285714" style="33" customWidth="1"/>
    <col min="24" max="24" width="15.8571428571429" style="33" customWidth="1"/>
    <col min="25" max="16384" width="9.14285714285714" style="33"/>
  </cols>
  <sheetData>
    <row r="1" ht="21" spans="1:13">
      <c r="A1" s="36"/>
      <c r="B1" s="37"/>
      <c r="C1" s="38">
        <v>0</v>
      </c>
      <c r="D1" s="39" t="s">
        <v>0</v>
      </c>
      <c r="E1" s="39"/>
      <c r="F1" s="39"/>
      <c r="G1" s="39"/>
      <c r="H1" s="39"/>
      <c r="I1" s="39"/>
      <c r="J1" s="39"/>
      <c r="K1" s="127"/>
      <c r="L1" s="128" t="s">
        <v>1</v>
      </c>
      <c r="M1" s="129"/>
    </row>
    <row r="2" ht="21" spans="1:13">
      <c r="A2" s="40"/>
      <c r="C2" s="41"/>
      <c r="D2" s="42"/>
      <c r="E2" s="42"/>
      <c r="F2" s="42"/>
      <c r="G2" s="42"/>
      <c r="H2" s="42"/>
      <c r="I2" s="42"/>
      <c r="J2" s="42"/>
      <c r="K2" s="130"/>
      <c r="L2" s="131" t="s">
        <v>2</v>
      </c>
      <c r="M2" s="129"/>
    </row>
    <row r="3" ht="43.5" customHeight="1" spans="1:13">
      <c r="A3" s="40"/>
      <c r="C3" s="41"/>
      <c r="D3" s="43"/>
      <c r="E3" s="43"/>
      <c r="F3" s="43"/>
      <c r="G3" s="43"/>
      <c r="H3" s="43"/>
      <c r="I3" s="43"/>
      <c r="J3" s="43"/>
      <c r="K3" s="130"/>
      <c r="L3" s="131" t="s">
        <v>3</v>
      </c>
      <c r="M3" s="129"/>
    </row>
    <row r="4" ht="20.25" spans="1:13">
      <c r="A4" s="44" t="s">
        <v>4</v>
      </c>
      <c r="B4" s="45" t="s">
        <v>5</v>
      </c>
      <c r="C4" s="46"/>
      <c r="D4" s="47" t="s">
        <v>6</v>
      </c>
      <c r="E4" s="48" t="s">
        <v>7</v>
      </c>
      <c r="F4" s="49" t="s">
        <v>8</v>
      </c>
      <c r="G4" s="50"/>
      <c r="H4" s="50"/>
      <c r="I4" s="50"/>
      <c r="J4" s="132"/>
      <c r="K4" s="47" t="s">
        <v>9</v>
      </c>
      <c r="L4" s="133" t="s">
        <v>10</v>
      </c>
      <c r="M4" s="134"/>
    </row>
    <row r="5" ht="19.5" spans="1:13">
      <c r="A5" s="51"/>
      <c r="B5" s="52"/>
      <c r="C5" s="53"/>
      <c r="D5" s="54"/>
      <c r="E5" s="55"/>
      <c r="F5" s="56" t="s">
        <v>11</v>
      </c>
      <c r="G5" s="57" t="s">
        <v>12</v>
      </c>
      <c r="H5" s="57" t="s">
        <v>13</v>
      </c>
      <c r="I5" s="57" t="s">
        <v>14</v>
      </c>
      <c r="J5" s="57" t="s">
        <v>15</v>
      </c>
      <c r="K5" s="54"/>
      <c r="L5" s="135"/>
      <c r="M5" s="134"/>
    </row>
    <row r="6" ht="134.25" customHeight="1" spans="1:13">
      <c r="A6" s="58"/>
      <c r="B6" s="59"/>
      <c r="C6" s="60"/>
      <c r="D6" s="61"/>
      <c r="E6" s="55"/>
      <c r="F6" s="62"/>
      <c r="G6" s="62"/>
      <c r="H6" s="62"/>
      <c r="I6" s="62"/>
      <c r="J6" s="62"/>
      <c r="K6" s="61"/>
      <c r="L6" s="136"/>
      <c r="M6" s="134"/>
    </row>
    <row r="7" ht="19.5" spans="1:13">
      <c r="A7" s="63">
        <v>1</v>
      </c>
      <c r="B7" s="63">
        <v>2</v>
      </c>
      <c r="C7" s="63"/>
      <c r="D7" s="63">
        <v>3</v>
      </c>
      <c r="E7" s="64">
        <v>4</v>
      </c>
      <c r="F7" s="64">
        <v>5</v>
      </c>
      <c r="G7" s="64">
        <v>6</v>
      </c>
      <c r="H7" s="64">
        <v>7</v>
      </c>
      <c r="I7" s="64">
        <v>8</v>
      </c>
      <c r="J7" s="64">
        <v>9</v>
      </c>
      <c r="K7" s="63">
        <v>10</v>
      </c>
      <c r="L7" s="63">
        <v>11</v>
      </c>
      <c r="M7" s="137"/>
    </row>
    <row r="8" ht="19.5" spans="1:13">
      <c r="A8" s="65" t="s">
        <v>16</v>
      </c>
      <c r="B8" s="66" t="s">
        <v>17</v>
      </c>
      <c r="C8" s="67"/>
      <c r="D8" s="67"/>
      <c r="E8" s="67"/>
      <c r="F8" s="67"/>
      <c r="G8" s="67"/>
      <c r="H8" s="67"/>
      <c r="I8" s="67"/>
      <c r="J8" s="67"/>
      <c r="K8" s="67"/>
      <c r="L8" s="138"/>
      <c r="M8" s="139"/>
    </row>
    <row r="9" ht="20.25" spans="1:13">
      <c r="A9" s="68"/>
      <c r="B9" s="69" t="s">
        <v>18</v>
      </c>
      <c r="C9" s="70"/>
      <c r="D9" s="70"/>
      <c r="E9" s="70"/>
      <c r="F9" s="70"/>
      <c r="G9" s="70"/>
      <c r="H9" s="70"/>
      <c r="I9" s="70"/>
      <c r="J9" s="70"/>
      <c r="K9" s="70"/>
      <c r="L9" s="140"/>
      <c r="M9" s="139"/>
    </row>
    <row r="10" ht="21.75" customHeight="1" spans="1:13">
      <c r="A10" s="71" t="s">
        <v>19</v>
      </c>
      <c r="B10" s="72"/>
      <c r="C10" s="72"/>
      <c r="D10" s="72"/>
      <c r="E10" s="72"/>
      <c r="F10" s="72"/>
      <c r="G10" s="72"/>
      <c r="H10" s="72"/>
      <c r="I10" s="72"/>
      <c r="J10" s="72"/>
      <c r="K10" s="72"/>
      <c r="L10" s="141"/>
      <c r="M10" s="142"/>
    </row>
    <row r="11" ht="20.25" customHeight="1" spans="1:13">
      <c r="A11" s="73" t="s">
        <v>20</v>
      </c>
      <c r="B11" s="74" t="s">
        <v>21</v>
      </c>
      <c r="C11" s="75"/>
      <c r="D11" s="76">
        <v>2018</v>
      </c>
      <c r="E11" s="77">
        <f>F11+G11+H11+J11</f>
        <v>6000</v>
      </c>
      <c r="F11" s="77">
        <v>0</v>
      </c>
      <c r="G11" s="77">
        <v>3000</v>
      </c>
      <c r="H11" s="77">
        <v>3000</v>
      </c>
      <c r="I11" s="77">
        <v>3000</v>
      </c>
      <c r="J11" s="77">
        <v>0</v>
      </c>
      <c r="K11" s="82" t="s">
        <v>22</v>
      </c>
      <c r="L11" s="82" t="s">
        <v>23</v>
      </c>
      <c r="M11" s="143"/>
    </row>
    <row r="12" ht="20.25" customHeight="1" spans="1:13">
      <c r="A12" s="78"/>
      <c r="B12" s="79"/>
      <c r="C12" s="75"/>
      <c r="D12" s="76">
        <v>2019</v>
      </c>
      <c r="E12" s="77">
        <f t="shared" ref="E12:E31" si="0">F12+G12+H12+J12</f>
        <v>6000</v>
      </c>
      <c r="F12" s="77">
        <v>0</v>
      </c>
      <c r="G12" s="77">
        <v>3000</v>
      </c>
      <c r="H12" s="77">
        <v>3000</v>
      </c>
      <c r="I12" s="77">
        <v>3000</v>
      </c>
      <c r="J12" s="77">
        <v>0</v>
      </c>
      <c r="K12" s="144"/>
      <c r="L12" s="144"/>
      <c r="M12" s="143"/>
    </row>
    <row r="13" ht="20.25" customHeight="1" spans="1:13">
      <c r="A13" s="78"/>
      <c r="B13" s="79"/>
      <c r="C13" s="75"/>
      <c r="D13" s="80">
        <v>2020</v>
      </c>
      <c r="E13" s="77">
        <f t="shared" si="0"/>
        <v>0</v>
      </c>
      <c r="F13" s="81">
        <v>0</v>
      </c>
      <c r="G13" s="77">
        <v>0</v>
      </c>
      <c r="H13" s="77">
        <v>0</v>
      </c>
      <c r="I13" s="77">
        <v>0</v>
      </c>
      <c r="J13" s="77">
        <v>0</v>
      </c>
      <c r="K13" s="144"/>
      <c r="L13" s="144"/>
      <c r="M13" s="143"/>
    </row>
    <row r="14" ht="20.25" customHeight="1" spans="1:13">
      <c r="A14" s="78"/>
      <c r="B14" s="79"/>
      <c r="C14" s="75"/>
      <c r="D14" s="80">
        <v>2021</v>
      </c>
      <c r="E14" s="77">
        <f t="shared" si="0"/>
        <v>0</v>
      </c>
      <c r="F14" s="81">
        <v>0</v>
      </c>
      <c r="G14" s="77">
        <v>0</v>
      </c>
      <c r="H14" s="77">
        <v>0</v>
      </c>
      <c r="I14" s="77">
        <v>0</v>
      </c>
      <c r="J14" s="77">
        <v>0</v>
      </c>
      <c r="K14" s="144"/>
      <c r="L14" s="144"/>
      <c r="M14" s="143"/>
    </row>
    <row r="15" ht="20.25" customHeight="1" spans="1:13">
      <c r="A15" s="78"/>
      <c r="B15" s="79"/>
      <c r="C15" s="75"/>
      <c r="D15" s="80">
        <v>2022</v>
      </c>
      <c r="E15" s="77">
        <f t="shared" si="0"/>
        <v>0</v>
      </c>
      <c r="F15" s="81">
        <v>0</v>
      </c>
      <c r="G15" s="77">
        <v>0</v>
      </c>
      <c r="H15" s="77">
        <v>0</v>
      </c>
      <c r="I15" s="77">
        <v>0</v>
      </c>
      <c r="J15" s="77">
        <v>0</v>
      </c>
      <c r="K15" s="144"/>
      <c r="L15" s="144"/>
      <c r="M15" s="143"/>
    </row>
    <row r="16" ht="20.25" customHeight="1" spans="1:13">
      <c r="A16" s="78"/>
      <c r="B16" s="79"/>
      <c r="C16" s="75"/>
      <c r="D16" s="80">
        <v>2023</v>
      </c>
      <c r="E16" s="77">
        <f t="shared" si="0"/>
        <v>0</v>
      </c>
      <c r="F16" s="81">
        <v>0</v>
      </c>
      <c r="G16" s="77">
        <v>0</v>
      </c>
      <c r="H16" s="77">
        <f>I16</f>
        <v>0</v>
      </c>
      <c r="I16" s="77">
        <v>0</v>
      </c>
      <c r="J16" s="77">
        <v>0</v>
      </c>
      <c r="K16" s="144"/>
      <c r="L16" s="144"/>
      <c r="M16" s="143"/>
    </row>
    <row r="17" ht="20.25" customHeight="1" spans="1:13">
      <c r="A17" s="78"/>
      <c r="B17" s="79"/>
      <c r="C17" s="75"/>
      <c r="D17" s="80">
        <v>2024</v>
      </c>
      <c r="E17" s="77">
        <f t="shared" si="0"/>
        <v>0</v>
      </c>
      <c r="F17" s="81">
        <v>0</v>
      </c>
      <c r="G17" s="77">
        <v>0</v>
      </c>
      <c r="H17" s="77">
        <f>I17</f>
        <v>0</v>
      </c>
      <c r="I17" s="77">
        <v>0</v>
      </c>
      <c r="J17" s="77">
        <v>0</v>
      </c>
      <c r="K17" s="144"/>
      <c r="L17" s="144"/>
      <c r="M17" s="143"/>
    </row>
    <row r="18" ht="20.25" customHeight="1" spans="1:13">
      <c r="A18" s="78"/>
      <c r="B18" s="79"/>
      <c r="C18" s="75"/>
      <c r="D18" s="80">
        <v>2025</v>
      </c>
      <c r="E18" s="77">
        <f t="shared" si="0"/>
        <v>0</v>
      </c>
      <c r="F18" s="81">
        <v>0</v>
      </c>
      <c r="G18" s="77">
        <v>0</v>
      </c>
      <c r="H18" s="77">
        <v>0</v>
      </c>
      <c r="I18" s="77">
        <v>0</v>
      </c>
      <c r="J18" s="77">
        <v>0</v>
      </c>
      <c r="K18" s="144"/>
      <c r="L18" s="144"/>
      <c r="M18" s="143"/>
    </row>
    <row r="19" ht="20.25" customHeight="1" spans="1:13">
      <c r="A19" s="78"/>
      <c r="B19" s="79"/>
      <c r="C19" s="74"/>
      <c r="D19" s="82">
        <v>2026</v>
      </c>
      <c r="E19" s="77">
        <f t="shared" ref="E19" si="1">F19+G19+H19+J19</f>
        <v>0</v>
      </c>
      <c r="F19" s="77">
        <v>0</v>
      </c>
      <c r="G19" s="77">
        <v>0</v>
      </c>
      <c r="H19" s="77">
        <v>0</v>
      </c>
      <c r="I19" s="77">
        <v>0</v>
      </c>
      <c r="J19" s="77">
        <v>0</v>
      </c>
      <c r="K19" s="144"/>
      <c r="L19" s="144"/>
      <c r="M19" s="143"/>
    </row>
    <row r="20" ht="20.25" customHeight="1" spans="1:13">
      <c r="A20" s="78"/>
      <c r="B20" s="79"/>
      <c r="C20" s="83"/>
      <c r="D20" s="76">
        <v>2027</v>
      </c>
      <c r="E20" s="77">
        <f t="shared" si="0"/>
        <v>0</v>
      </c>
      <c r="F20" s="77">
        <v>0</v>
      </c>
      <c r="G20" s="77">
        <v>0</v>
      </c>
      <c r="H20" s="77">
        <v>0</v>
      </c>
      <c r="I20" s="77">
        <v>0</v>
      </c>
      <c r="J20" s="77">
        <v>0</v>
      </c>
      <c r="K20" s="144"/>
      <c r="L20" s="144"/>
      <c r="M20" s="143"/>
    </row>
    <row r="21" ht="20.25" customHeight="1" spans="1:13">
      <c r="A21" s="84"/>
      <c r="B21" s="85"/>
      <c r="C21" s="79"/>
      <c r="D21" s="76">
        <v>2028</v>
      </c>
      <c r="E21" s="77">
        <v>0</v>
      </c>
      <c r="F21" s="77">
        <v>0</v>
      </c>
      <c r="G21" s="77">
        <v>0</v>
      </c>
      <c r="H21" s="77">
        <v>0</v>
      </c>
      <c r="I21" s="77">
        <v>0</v>
      </c>
      <c r="J21" s="77">
        <v>0</v>
      </c>
      <c r="K21" s="145"/>
      <c r="L21" s="145"/>
      <c r="M21" s="143"/>
    </row>
    <row r="22" ht="20.25" customHeight="1" spans="1:13">
      <c r="A22" s="73" t="s">
        <v>24</v>
      </c>
      <c r="B22" s="74" t="s">
        <v>25</v>
      </c>
      <c r="C22" s="85"/>
      <c r="D22" s="76">
        <v>2018</v>
      </c>
      <c r="E22" s="77">
        <f t="shared" si="0"/>
        <v>0</v>
      </c>
      <c r="F22" s="77">
        <v>0</v>
      </c>
      <c r="G22" s="77">
        <v>0</v>
      </c>
      <c r="H22" s="77">
        <v>0</v>
      </c>
      <c r="I22" s="77">
        <v>0</v>
      </c>
      <c r="J22" s="77">
        <v>0</v>
      </c>
      <c r="K22" s="82" t="s">
        <v>26</v>
      </c>
      <c r="L22" s="82" t="s">
        <v>23</v>
      </c>
      <c r="M22" s="143"/>
    </row>
    <row r="23" ht="20.25" customHeight="1" spans="1:13">
      <c r="A23" s="78"/>
      <c r="B23" s="79"/>
      <c r="C23" s="75"/>
      <c r="D23" s="76">
        <v>2019</v>
      </c>
      <c r="E23" s="77">
        <f t="shared" si="0"/>
        <v>0</v>
      </c>
      <c r="F23" s="77">
        <v>0</v>
      </c>
      <c r="G23" s="77">
        <v>0</v>
      </c>
      <c r="H23" s="77">
        <v>0</v>
      </c>
      <c r="I23" s="77">
        <v>0</v>
      </c>
      <c r="J23" s="77">
        <v>0</v>
      </c>
      <c r="K23" s="144"/>
      <c r="L23" s="144"/>
      <c r="M23" s="143"/>
    </row>
    <row r="24" ht="20.25" customHeight="1" spans="1:13">
      <c r="A24" s="78"/>
      <c r="B24" s="79"/>
      <c r="C24" s="75"/>
      <c r="D24" s="80">
        <v>2020</v>
      </c>
      <c r="E24" s="77">
        <f t="shared" si="0"/>
        <v>6750</v>
      </c>
      <c r="F24" s="86">
        <v>0</v>
      </c>
      <c r="G24" s="77">
        <v>5700</v>
      </c>
      <c r="H24" s="77">
        <v>1050</v>
      </c>
      <c r="I24" s="77">
        <v>300</v>
      </c>
      <c r="J24" s="77">
        <v>0</v>
      </c>
      <c r="K24" s="144"/>
      <c r="L24" s="144"/>
      <c r="M24" s="143"/>
    </row>
    <row r="25" ht="20.25" customHeight="1" spans="1:13">
      <c r="A25" s="78"/>
      <c r="B25" s="79"/>
      <c r="C25" s="75"/>
      <c r="D25" s="80">
        <v>2021</v>
      </c>
      <c r="E25" s="77">
        <f t="shared" si="0"/>
        <v>7200</v>
      </c>
      <c r="F25" s="86">
        <v>0</v>
      </c>
      <c r="G25" s="77">
        <v>5700</v>
      </c>
      <c r="H25" s="77">
        <v>1500</v>
      </c>
      <c r="I25" s="77">
        <v>300</v>
      </c>
      <c r="J25" s="77">
        <v>0</v>
      </c>
      <c r="K25" s="144"/>
      <c r="L25" s="144"/>
      <c r="M25" s="143"/>
    </row>
    <row r="26" ht="20.25" customHeight="1" spans="1:13">
      <c r="A26" s="78"/>
      <c r="B26" s="79"/>
      <c r="C26" s="75"/>
      <c r="D26" s="80">
        <v>2022</v>
      </c>
      <c r="E26" s="77">
        <f t="shared" si="0"/>
        <v>0</v>
      </c>
      <c r="F26" s="86">
        <v>0</v>
      </c>
      <c r="G26" s="77">
        <v>0</v>
      </c>
      <c r="H26" s="77">
        <v>0</v>
      </c>
      <c r="I26" s="77">
        <v>0</v>
      </c>
      <c r="J26" s="77">
        <v>0</v>
      </c>
      <c r="K26" s="144"/>
      <c r="L26" s="144"/>
      <c r="M26" s="143"/>
    </row>
    <row r="27" ht="20.25" customHeight="1" spans="1:13">
      <c r="A27" s="78"/>
      <c r="B27" s="79"/>
      <c r="C27" s="75"/>
      <c r="D27" s="80">
        <v>2023</v>
      </c>
      <c r="E27" s="77">
        <f t="shared" si="0"/>
        <v>0</v>
      </c>
      <c r="F27" s="86">
        <v>0</v>
      </c>
      <c r="G27" s="77">
        <v>0</v>
      </c>
      <c r="H27" s="77">
        <f>I27</f>
        <v>0</v>
      </c>
      <c r="I27" s="77">
        <v>0</v>
      </c>
      <c r="J27" s="77">
        <v>0</v>
      </c>
      <c r="K27" s="144"/>
      <c r="L27" s="144"/>
      <c r="M27" s="143"/>
    </row>
    <row r="28" ht="20.25" customHeight="1" spans="1:13">
      <c r="A28" s="78"/>
      <c r="B28" s="79"/>
      <c r="C28" s="75"/>
      <c r="D28" s="80">
        <v>2024</v>
      </c>
      <c r="E28" s="77">
        <f t="shared" si="0"/>
        <v>0</v>
      </c>
      <c r="F28" s="86">
        <v>0</v>
      </c>
      <c r="G28" s="77">
        <v>0</v>
      </c>
      <c r="H28" s="87">
        <f>I28</f>
        <v>0</v>
      </c>
      <c r="I28" s="77">
        <v>0</v>
      </c>
      <c r="J28" s="77">
        <v>0</v>
      </c>
      <c r="K28" s="144"/>
      <c r="L28" s="144"/>
      <c r="M28" s="143"/>
    </row>
    <row r="29" ht="20.25" customHeight="1" spans="1:13">
      <c r="A29" s="78"/>
      <c r="B29" s="79"/>
      <c r="C29" s="75"/>
      <c r="D29" s="80">
        <v>2025</v>
      </c>
      <c r="E29" s="77">
        <f t="shared" si="0"/>
        <v>0</v>
      </c>
      <c r="F29" s="86">
        <v>0</v>
      </c>
      <c r="G29" s="77">
        <v>0</v>
      </c>
      <c r="H29" s="87">
        <f>I29</f>
        <v>0</v>
      </c>
      <c r="I29" s="77">
        <v>0</v>
      </c>
      <c r="J29" s="77">
        <v>0</v>
      </c>
      <c r="K29" s="144"/>
      <c r="L29" s="144"/>
      <c r="M29" s="143"/>
    </row>
    <row r="30" ht="20.25" customHeight="1" spans="1:13">
      <c r="A30" s="78"/>
      <c r="B30" s="79"/>
      <c r="C30" s="74"/>
      <c r="D30" s="82">
        <v>2026</v>
      </c>
      <c r="E30" s="77">
        <f t="shared" ref="E30" si="2">F30+G30+H30+J30</f>
        <v>0</v>
      </c>
      <c r="F30" s="86">
        <v>0</v>
      </c>
      <c r="G30" s="77">
        <v>0</v>
      </c>
      <c r="H30" s="87">
        <v>0</v>
      </c>
      <c r="I30" s="77">
        <v>0</v>
      </c>
      <c r="J30" s="77">
        <v>0</v>
      </c>
      <c r="K30" s="144"/>
      <c r="L30" s="144"/>
      <c r="M30" s="143"/>
    </row>
    <row r="31" ht="20.25" customHeight="1" spans="1:13">
      <c r="A31" s="78"/>
      <c r="B31" s="79"/>
      <c r="C31" s="83"/>
      <c r="D31" s="80">
        <v>2027</v>
      </c>
      <c r="E31" s="88">
        <f t="shared" si="0"/>
        <v>0</v>
      </c>
      <c r="F31" s="89">
        <v>0</v>
      </c>
      <c r="G31" s="88">
        <v>0</v>
      </c>
      <c r="H31" s="90">
        <v>0</v>
      </c>
      <c r="I31" s="88">
        <v>0</v>
      </c>
      <c r="J31" s="88">
        <v>0</v>
      </c>
      <c r="K31" s="144"/>
      <c r="L31" s="144"/>
      <c r="M31" s="143"/>
    </row>
    <row r="32" ht="20.25" customHeight="1" spans="1:13">
      <c r="A32" s="84"/>
      <c r="B32" s="85"/>
      <c r="C32" s="91"/>
      <c r="D32" s="92">
        <v>2028</v>
      </c>
      <c r="E32" s="88">
        <v>0</v>
      </c>
      <c r="F32" s="89">
        <v>0</v>
      </c>
      <c r="G32" s="88">
        <v>0</v>
      </c>
      <c r="H32" s="90">
        <v>0</v>
      </c>
      <c r="I32" s="88">
        <v>0</v>
      </c>
      <c r="J32" s="77">
        <v>0</v>
      </c>
      <c r="K32" s="145"/>
      <c r="L32" s="145"/>
      <c r="M32" s="143"/>
    </row>
    <row r="33" ht="20.25" customHeight="1" spans="1:13">
      <c r="A33" s="93"/>
      <c r="B33" s="94"/>
      <c r="C33" s="95"/>
      <c r="D33" s="96" t="s">
        <v>27</v>
      </c>
      <c r="E33" s="90">
        <f>F33+G33+H33+J33</f>
        <v>25950</v>
      </c>
      <c r="F33" s="90">
        <f>SUM(F11:F32)</f>
        <v>0</v>
      </c>
      <c r="G33" s="90">
        <f>SUM(G11:G32)</f>
        <v>17400</v>
      </c>
      <c r="H33" s="90">
        <f>SUM(H11:H32)</f>
        <v>8550</v>
      </c>
      <c r="I33" s="90">
        <f>SUM(I11:I32)</f>
        <v>6600</v>
      </c>
      <c r="J33" s="146">
        <f>SUM(J11:J32)</f>
        <v>0</v>
      </c>
      <c r="K33" s="147"/>
      <c r="L33" s="148"/>
      <c r="M33" s="137"/>
    </row>
    <row r="34" ht="19.5" spans="1:13">
      <c r="A34" s="65" t="s">
        <v>28</v>
      </c>
      <c r="B34" s="97" t="s">
        <v>29</v>
      </c>
      <c r="C34" s="98"/>
      <c r="D34" s="98"/>
      <c r="E34" s="98"/>
      <c r="F34" s="98"/>
      <c r="G34" s="98"/>
      <c r="H34" s="98"/>
      <c r="I34" s="98"/>
      <c r="J34" s="98"/>
      <c r="K34" s="98"/>
      <c r="L34" s="149"/>
      <c r="M34" s="150"/>
    </row>
    <row r="35" s="23" customFormat="1" ht="37.5" customHeight="1" spans="1:13">
      <c r="A35" s="68"/>
      <c r="B35" s="99" t="s">
        <v>30</v>
      </c>
      <c r="C35" s="100"/>
      <c r="D35" s="100"/>
      <c r="E35" s="100"/>
      <c r="F35" s="100"/>
      <c r="G35" s="100"/>
      <c r="H35" s="100"/>
      <c r="I35" s="100"/>
      <c r="J35" s="100"/>
      <c r="K35" s="100"/>
      <c r="L35" s="151"/>
      <c r="M35" s="98"/>
    </row>
    <row r="36" ht="20.25" spans="1:13">
      <c r="A36" s="65" t="s">
        <v>31</v>
      </c>
      <c r="B36" s="101"/>
      <c r="C36" s="101"/>
      <c r="D36" s="101"/>
      <c r="E36" s="101"/>
      <c r="F36" s="101"/>
      <c r="G36" s="101"/>
      <c r="H36" s="101"/>
      <c r="I36" s="101"/>
      <c r="J36" s="101"/>
      <c r="K36" s="101"/>
      <c r="L36" s="152"/>
      <c r="M36" s="142"/>
    </row>
    <row r="37" s="24" customFormat="1" ht="17.25" customHeight="1" spans="1:17">
      <c r="A37" s="102" t="s">
        <v>32</v>
      </c>
      <c r="B37" s="103" t="s">
        <v>33</v>
      </c>
      <c r="C37" s="104"/>
      <c r="D37" s="105">
        <v>2018</v>
      </c>
      <c r="E37" s="106">
        <f>F37+G37+H37+J37</f>
        <v>295.2</v>
      </c>
      <c r="F37" s="106">
        <v>0</v>
      </c>
      <c r="G37" s="106">
        <v>0</v>
      </c>
      <c r="H37" s="106">
        <v>295.2</v>
      </c>
      <c r="I37" s="106">
        <v>0</v>
      </c>
      <c r="J37" s="106">
        <v>0</v>
      </c>
      <c r="K37" s="153" t="s">
        <v>34</v>
      </c>
      <c r="L37" s="154" t="s">
        <v>35</v>
      </c>
      <c r="M37" s="143"/>
      <c r="N37" s="33"/>
      <c r="O37" s="33"/>
      <c r="P37" s="33"/>
      <c r="Q37" s="33"/>
    </row>
    <row r="38" ht="17.25" customHeight="1" spans="1:13">
      <c r="A38" s="107"/>
      <c r="B38" s="75"/>
      <c r="C38" s="108"/>
      <c r="D38" s="76">
        <v>2019</v>
      </c>
      <c r="E38" s="77">
        <f>F38+G38+H38+J38</f>
        <v>180.4</v>
      </c>
      <c r="F38" s="77">
        <v>0</v>
      </c>
      <c r="G38" s="77">
        <v>0</v>
      </c>
      <c r="H38" s="77">
        <v>180.4</v>
      </c>
      <c r="I38" s="77">
        <v>0</v>
      </c>
      <c r="J38" s="77">
        <v>0</v>
      </c>
      <c r="K38" s="80"/>
      <c r="L38" s="155"/>
      <c r="M38" s="143"/>
    </row>
    <row r="39" ht="17.25" customHeight="1" spans="1:13">
      <c r="A39" s="107"/>
      <c r="B39" s="75"/>
      <c r="C39" s="108"/>
      <c r="D39" s="80">
        <v>2020</v>
      </c>
      <c r="E39" s="77">
        <f t="shared" ref="E39:E57" si="3">F39+G39+H39+J39</f>
        <v>0</v>
      </c>
      <c r="F39" s="86">
        <v>0</v>
      </c>
      <c r="G39" s="77">
        <v>0</v>
      </c>
      <c r="H39" s="77">
        <v>0</v>
      </c>
      <c r="I39" s="77">
        <v>0</v>
      </c>
      <c r="J39" s="77">
        <v>0</v>
      </c>
      <c r="K39" s="80"/>
      <c r="L39" s="155"/>
      <c r="M39" s="143"/>
    </row>
    <row r="40" ht="17.25" customHeight="1" spans="1:13">
      <c r="A40" s="107"/>
      <c r="B40" s="75"/>
      <c r="C40" s="109"/>
      <c r="D40" s="80">
        <v>2021</v>
      </c>
      <c r="E40" s="77">
        <f t="shared" si="3"/>
        <v>0</v>
      </c>
      <c r="F40" s="86">
        <v>0</v>
      </c>
      <c r="G40" s="77">
        <v>0</v>
      </c>
      <c r="H40" s="77">
        <v>0</v>
      </c>
      <c r="I40" s="77">
        <v>0</v>
      </c>
      <c r="J40" s="77">
        <v>0</v>
      </c>
      <c r="K40" s="80"/>
      <c r="L40" s="155"/>
      <c r="M40" s="143"/>
    </row>
    <row r="41" ht="17.25" customHeight="1" spans="1:13">
      <c r="A41" s="107"/>
      <c r="B41" s="75"/>
      <c r="C41" s="109"/>
      <c r="D41" s="80">
        <v>2022</v>
      </c>
      <c r="E41" s="77">
        <f t="shared" si="3"/>
        <v>0</v>
      </c>
      <c r="F41" s="86">
        <v>0</v>
      </c>
      <c r="G41" s="77">
        <v>0</v>
      </c>
      <c r="H41" s="77">
        <v>0</v>
      </c>
      <c r="I41" s="77">
        <v>0</v>
      </c>
      <c r="J41" s="77">
        <v>0</v>
      </c>
      <c r="K41" s="80"/>
      <c r="L41" s="155"/>
      <c r="M41" s="143"/>
    </row>
    <row r="42" ht="17.25" customHeight="1" spans="1:13">
      <c r="A42" s="107"/>
      <c r="B42" s="75"/>
      <c r="C42" s="109"/>
      <c r="D42" s="80">
        <v>2023</v>
      </c>
      <c r="E42" s="77">
        <f t="shared" si="3"/>
        <v>0</v>
      </c>
      <c r="F42" s="86">
        <v>0</v>
      </c>
      <c r="G42" s="77">
        <v>0</v>
      </c>
      <c r="H42" s="77">
        <v>0</v>
      </c>
      <c r="I42" s="77">
        <v>0</v>
      </c>
      <c r="J42" s="77">
        <v>0</v>
      </c>
      <c r="K42" s="80"/>
      <c r="L42" s="155"/>
      <c r="M42" s="143"/>
    </row>
    <row r="43" ht="17.25" customHeight="1" spans="1:22">
      <c r="A43" s="107"/>
      <c r="B43" s="75"/>
      <c r="C43" s="109"/>
      <c r="D43" s="80">
        <v>2024</v>
      </c>
      <c r="E43" s="77">
        <f t="shared" si="3"/>
        <v>0</v>
      </c>
      <c r="F43" s="86">
        <v>0</v>
      </c>
      <c r="G43" s="77">
        <v>0</v>
      </c>
      <c r="H43" s="87">
        <f>200-200</f>
        <v>0</v>
      </c>
      <c r="I43" s="77">
        <v>0</v>
      </c>
      <c r="J43" s="77">
        <v>0</v>
      </c>
      <c r="K43" s="80"/>
      <c r="L43" s="155"/>
      <c r="M43" s="143"/>
      <c r="N43" s="156" t="s">
        <v>36</v>
      </c>
      <c r="O43" s="157"/>
      <c r="P43" s="158"/>
      <c r="Q43" s="166"/>
      <c r="R43" s="167">
        <v>152499100</v>
      </c>
      <c r="S43" s="168">
        <v>152499100</v>
      </c>
      <c r="T43" s="168">
        <v>152499100</v>
      </c>
      <c r="U43" s="33" t="s">
        <v>37</v>
      </c>
      <c r="V43" s="169">
        <f>H96</f>
        <v>169702.9</v>
      </c>
    </row>
    <row r="44" s="25" customFormat="1" ht="17.25" customHeight="1" spans="1:22">
      <c r="A44" s="107"/>
      <c r="B44" s="75"/>
      <c r="C44" s="109"/>
      <c r="D44" s="80">
        <v>2025</v>
      </c>
      <c r="E44" s="77">
        <f t="shared" si="3"/>
        <v>0</v>
      </c>
      <c r="F44" s="86">
        <v>0</v>
      </c>
      <c r="G44" s="77">
        <v>0</v>
      </c>
      <c r="H44" s="87">
        <f>200-200</f>
        <v>0</v>
      </c>
      <c r="I44" s="77">
        <v>0</v>
      </c>
      <c r="J44" s="77">
        <v>0</v>
      </c>
      <c r="K44" s="80"/>
      <c r="L44" s="155"/>
      <c r="M44" s="143"/>
      <c r="N44" s="156" t="s">
        <v>38</v>
      </c>
      <c r="O44" s="157"/>
      <c r="P44" s="158"/>
      <c r="Q44" s="166"/>
      <c r="R44" s="167">
        <v>10908700</v>
      </c>
      <c r="S44" s="168">
        <v>10908700</v>
      </c>
      <c r="T44" s="168">
        <v>10908700</v>
      </c>
      <c r="V44" s="169"/>
    </row>
    <row r="45" ht="17.25" customHeight="1" spans="1:22">
      <c r="A45" s="107"/>
      <c r="B45" s="75"/>
      <c r="C45" s="109"/>
      <c r="D45" s="80">
        <v>2026</v>
      </c>
      <c r="E45" s="77">
        <v>200</v>
      </c>
      <c r="F45" s="86">
        <v>0</v>
      </c>
      <c r="G45" s="77">
        <v>0</v>
      </c>
      <c r="H45" s="87">
        <v>200</v>
      </c>
      <c r="I45" s="77">
        <v>0</v>
      </c>
      <c r="J45" s="77">
        <v>0</v>
      </c>
      <c r="K45" s="80"/>
      <c r="L45" s="155"/>
      <c r="M45" s="143"/>
      <c r="N45" s="156" t="s">
        <v>39</v>
      </c>
      <c r="O45" s="157"/>
      <c r="P45" s="158"/>
      <c r="Q45" s="166"/>
      <c r="R45" s="167">
        <v>6736400</v>
      </c>
      <c r="S45" s="168">
        <v>0</v>
      </c>
      <c r="T45" s="168">
        <v>0</v>
      </c>
      <c r="U45" s="33" t="s">
        <v>40</v>
      </c>
      <c r="V45" s="170">
        <f>(R45+R46+R63+R64+R134)/1000</f>
        <v>104006.1</v>
      </c>
    </row>
    <row r="46" ht="17.25" customHeight="1" spans="1:22">
      <c r="A46" s="107"/>
      <c r="B46" s="75"/>
      <c r="C46" s="109"/>
      <c r="D46" s="80">
        <v>2027</v>
      </c>
      <c r="E46" s="77">
        <f t="shared" si="3"/>
        <v>200</v>
      </c>
      <c r="F46" s="86">
        <v>0</v>
      </c>
      <c r="G46" s="77">
        <v>0</v>
      </c>
      <c r="H46" s="87">
        <v>200</v>
      </c>
      <c r="I46" s="77">
        <v>0</v>
      </c>
      <c r="J46" s="77">
        <v>0</v>
      </c>
      <c r="K46" s="80"/>
      <c r="L46" s="155"/>
      <c r="M46" s="143"/>
      <c r="N46" s="156" t="s">
        <v>41</v>
      </c>
      <c r="O46" s="157"/>
      <c r="P46" s="158"/>
      <c r="Q46" s="166"/>
      <c r="R46" s="167">
        <v>19621800</v>
      </c>
      <c r="S46" s="168">
        <v>0</v>
      </c>
      <c r="T46" s="168">
        <v>0</v>
      </c>
      <c r="V46" s="170"/>
    </row>
    <row r="47" ht="17.25" customHeight="1" spans="1:22">
      <c r="A47" s="107"/>
      <c r="B47" s="75"/>
      <c r="C47" s="109"/>
      <c r="D47" s="80">
        <v>2028</v>
      </c>
      <c r="E47" s="77">
        <f>F47+G47+H47+I47+J47</f>
        <v>200</v>
      </c>
      <c r="F47" s="86">
        <v>0</v>
      </c>
      <c r="G47" s="77">
        <v>0</v>
      </c>
      <c r="H47" s="87">
        <v>200</v>
      </c>
      <c r="I47" s="77">
        <v>0</v>
      </c>
      <c r="J47" s="77">
        <v>0</v>
      </c>
      <c r="K47" s="80"/>
      <c r="L47" s="155"/>
      <c r="M47" s="143"/>
      <c r="N47" s="156"/>
      <c r="O47" s="157"/>
      <c r="P47" s="158"/>
      <c r="Q47" s="166"/>
      <c r="R47" s="167"/>
      <c r="S47" s="168"/>
      <c r="T47" s="168"/>
      <c r="V47" s="170"/>
    </row>
    <row r="48" ht="17.25" customHeight="1" spans="1:24">
      <c r="A48" s="107" t="s">
        <v>42</v>
      </c>
      <c r="B48" s="75" t="s">
        <v>43</v>
      </c>
      <c r="C48" s="108"/>
      <c r="D48" s="76">
        <v>2018</v>
      </c>
      <c r="E48" s="77">
        <f t="shared" si="3"/>
        <v>245.1</v>
      </c>
      <c r="F48" s="77">
        <v>0</v>
      </c>
      <c r="G48" s="77">
        <v>0</v>
      </c>
      <c r="H48" s="77">
        <v>245.1</v>
      </c>
      <c r="I48" s="77">
        <v>0</v>
      </c>
      <c r="J48" s="77">
        <v>0</v>
      </c>
      <c r="K48" s="80" t="s">
        <v>44</v>
      </c>
      <c r="L48" s="155" t="s">
        <v>35</v>
      </c>
      <c r="M48" s="143"/>
      <c r="N48" s="156" t="s">
        <v>45</v>
      </c>
      <c r="O48" s="157"/>
      <c r="P48" s="158"/>
      <c r="Q48" s="166"/>
      <c r="R48" s="168">
        <v>10804300</v>
      </c>
      <c r="S48" s="168">
        <v>210700</v>
      </c>
      <c r="T48" s="168">
        <v>210700</v>
      </c>
      <c r="U48" s="33" t="s">
        <v>46</v>
      </c>
      <c r="V48" s="171">
        <f>98.7+112+305.5+10967.4</f>
        <v>11483.6</v>
      </c>
      <c r="W48" s="171">
        <f>98.7+112</f>
        <v>210.7</v>
      </c>
      <c r="X48" s="171">
        <f>98.7+112</f>
        <v>210.7</v>
      </c>
    </row>
    <row r="49" ht="17.25" customHeight="1" spans="1:20">
      <c r="A49" s="107"/>
      <c r="B49" s="75"/>
      <c r="C49" s="108"/>
      <c r="D49" s="76">
        <v>2019</v>
      </c>
      <c r="E49" s="77">
        <f t="shared" si="3"/>
        <v>244.3</v>
      </c>
      <c r="F49" s="77">
        <v>0</v>
      </c>
      <c r="G49" s="77">
        <v>0</v>
      </c>
      <c r="H49" s="77">
        <v>244.3</v>
      </c>
      <c r="I49" s="77">
        <v>0</v>
      </c>
      <c r="J49" s="77">
        <v>0</v>
      </c>
      <c r="K49" s="80"/>
      <c r="L49" s="155"/>
      <c r="M49" s="143"/>
      <c r="N49" s="156" t="s">
        <v>47</v>
      </c>
      <c r="O49" s="157"/>
      <c r="P49" s="158"/>
      <c r="Q49" s="166"/>
      <c r="R49" s="168">
        <v>679300</v>
      </c>
      <c r="S49" s="168">
        <v>0</v>
      </c>
      <c r="T49" s="168">
        <v>0</v>
      </c>
    </row>
    <row r="50" ht="17.25" customHeight="1" spans="1:24">
      <c r="A50" s="107"/>
      <c r="B50" s="75"/>
      <c r="C50" s="108"/>
      <c r="D50" s="80">
        <v>2020</v>
      </c>
      <c r="E50" s="77">
        <f t="shared" si="3"/>
        <v>0</v>
      </c>
      <c r="F50" s="86">
        <v>0</v>
      </c>
      <c r="G50" s="77">
        <v>0</v>
      </c>
      <c r="H50" s="77">
        <v>0</v>
      </c>
      <c r="I50" s="77">
        <v>0</v>
      </c>
      <c r="J50" s="77">
        <v>0</v>
      </c>
      <c r="K50" s="80"/>
      <c r="L50" s="155"/>
      <c r="M50" s="143"/>
      <c r="N50" s="156" t="s">
        <v>48</v>
      </c>
      <c r="O50" s="157"/>
      <c r="P50" s="158"/>
      <c r="Q50" s="166"/>
      <c r="R50" s="168">
        <v>4208200</v>
      </c>
      <c r="S50" s="168">
        <v>4393000</v>
      </c>
      <c r="T50" s="168">
        <v>4793900</v>
      </c>
      <c r="U50" s="33" t="s">
        <v>49</v>
      </c>
      <c r="V50" s="171">
        <v>11795.9</v>
      </c>
      <c r="W50" s="171">
        <v>12267.7</v>
      </c>
      <c r="X50" s="171">
        <v>12758.3</v>
      </c>
    </row>
    <row r="51" ht="17.25" customHeight="1" spans="1:24">
      <c r="A51" s="107"/>
      <c r="B51" s="75"/>
      <c r="C51" s="109"/>
      <c r="D51" s="80">
        <v>2021</v>
      </c>
      <c r="E51" s="77">
        <f t="shared" si="3"/>
        <v>300</v>
      </c>
      <c r="F51" s="86">
        <v>0</v>
      </c>
      <c r="G51" s="77">
        <v>0</v>
      </c>
      <c r="H51" s="77">
        <v>300</v>
      </c>
      <c r="I51" s="77">
        <v>0</v>
      </c>
      <c r="J51" s="77">
        <v>0</v>
      </c>
      <c r="K51" s="80"/>
      <c r="L51" s="155"/>
      <c r="M51" s="143"/>
      <c r="N51" s="156" t="s">
        <v>50</v>
      </c>
      <c r="O51" s="157"/>
      <c r="P51" s="158"/>
      <c r="Q51" s="166"/>
      <c r="R51" s="168">
        <v>413900</v>
      </c>
      <c r="S51" s="168">
        <v>413900</v>
      </c>
      <c r="T51" s="168">
        <v>413900</v>
      </c>
      <c r="V51" s="170"/>
      <c r="W51" s="170"/>
      <c r="X51" s="170"/>
    </row>
    <row r="52" ht="17.25" customHeight="1" spans="1:24">
      <c r="A52" s="107"/>
      <c r="B52" s="75"/>
      <c r="C52" s="109"/>
      <c r="D52" s="80">
        <v>2022</v>
      </c>
      <c r="E52" s="77">
        <f t="shared" si="3"/>
        <v>300</v>
      </c>
      <c r="F52" s="86">
        <v>0</v>
      </c>
      <c r="G52" s="77">
        <v>0</v>
      </c>
      <c r="H52" s="77">
        <v>300</v>
      </c>
      <c r="I52" s="77">
        <v>0</v>
      </c>
      <c r="J52" s="77">
        <v>0</v>
      </c>
      <c r="K52" s="80"/>
      <c r="L52" s="155"/>
      <c r="M52" s="143"/>
      <c r="N52" s="156" t="s">
        <v>51</v>
      </c>
      <c r="O52" s="157"/>
      <c r="P52" s="158"/>
      <c r="Q52" s="166"/>
      <c r="R52" s="168">
        <v>434604200</v>
      </c>
      <c r="S52" s="168">
        <v>481283500</v>
      </c>
      <c r="T52" s="168">
        <v>518540000</v>
      </c>
      <c r="U52" s="33" t="s">
        <v>37</v>
      </c>
      <c r="V52" s="171">
        <v>474294.4</v>
      </c>
      <c r="W52" s="171">
        <v>525287.7</v>
      </c>
      <c r="X52" s="171">
        <v>566205.1</v>
      </c>
    </row>
    <row r="53" ht="17.25" customHeight="1" spans="1:24">
      <c r="A53" s="107"/>
      <c r="B53" s="75"/>
      <c r="C53" s="109"/>
      <c r="D53" s="80">
        <v>2023</v>
      </c>
      <c r="E53" s="77">
        <f t="shared" si="3"/>
        <v>188</v>
      </c>
      <c r="F53" s="86">
        <v>0</v>
      </c>
      <c r="G53" s="77">
        <v>0</v>
      </c>
      <c r="H53" s="77">
        <f>200-6.3-5.7</f>
        <v>188</v>
      </c>
      <c r="I53" s="77">
        <v>0</v>
      </c>
      <c r="J53" s="77">
        <v>0</v>
      </c>
      <c r="K53" s="80"/>
      <c r="L53" s="155"/>
      <c r="M53" s="143"/>
      <c r="N53" s="156" t="s">
        <v>52</v>
      </c>
      <c r="O53" s="157"/>
      <c r="P53" s="158"/>
      <c r="Q53" s="166"/>
      <c r="R53" s="168">
        <v>86769400</v>
      </c>
      <c r="S53" s="168">
        <v>86769400</v>
      </c>
      <c r="T53" s="168">
        <v>86769400</v>
      </c>
      <c r="V53" s="171">
        <v>94619</v>
      </c>
      <c r="W53" s="171">
        <v>94619</v>
      </c>
      <c r="X53" s="171">
        <v>94619</v>
      </c>
    </row>
    <row r="54" ht="17.25" customHeight="1" spans="1:20">
      <c r="A54" s="107"/>
      <c r="B54" s="75"/>
      <c r="C54" s="109"/>
      <c r="D54" s="80">
        <v>2024</v>
      </c>
      <c r="E54" s="77">
        <f t="shared" si="3"/>
        <v>244.9</v>
      </c>
      <c r="F54" s="86">
        <v>0</v>
      </c>
      <c r="G54" s="77">
        <v>0</v>
      </c>
      <c r="H54" s="110">
        <f>400-120-35.1</f>
        <v>244.9</v>
      </c>
      <c r="I54" s="77">
        <v>0</v>
      </c>
      <c r="J54" s="77">
        <v>0</v>
      </c>
      <c r="K54" s="80"/>
      <c r="L54" s="155"/>
      <c r="M54" s="143"/>
      <c r="N54" s="156" t="s">
        <v>53</v>
      </c>
      <c r="O54" s="157"/>
      <c r="P54" s="158"/>
      <c r="Q54" s="166"/>
      <c r="R54" s="168">
        <v>39690200</v>
      </c>
      <c r="S54" s="168">
        <v>44004200</v>
      </c>
      <c r="T54" s="168">
        <v>47665100</v>
      </c>
    </row>
    <row r="55" ht="17.25" customHeight="1" spans="1:20">
      <c r="A55" s="107"/>
      <c r="B55" s="75"/>
      <c r="C55" s="109"/>
      <c r="D55" s="80">
        <v>2025</v>
      </c>
      <c r="E55" s="77">
        <f t="shared" si="3"/>
        <v>274.4</v>
      </c>
      <c r="F55" s="86">
        <v>0</v>
      </c>
      <c r="G55" s="77">
        <v>0</v>
      </c>
      <c r="H55" s="110">
        <f>400-125.5-0.1</f>
        <v>274.4</v>
      </c>
      <c r="I55" s="77">
        <v>0</v>
      </c>
      <c r="J55" s="77">
        <v>0</v>
      </c>
      <c r="K55" s="80"/>
      <c r="L55" s="155"/>
      <c r="M55" s="143"/>
      <c r="N55" s="156" t="s">
        <v>54</v>
      </c>
      <c r="O55" s="157"/>
      <c r="P55" s="158"/>
      <c r="Q55" s="166"/>
      <c r="R55" s="168">
        <v>7849600</v>
      </c>
      <c r="S55" s="168">
        <v>7849600</v>
      </c>
      <c r="T55" s="168">
        <v>7849600</v>
      </c>
    </row>
    <row r="56" ht="17.25" customHeight="1" spans="1:24">
      <c r="A56" s="107"/>
      <c r="B56" s="75"/>
      <c r="C56" s="109"/>
      <c r="D56" s="80">
        <v>2026</v>
      </c>
      <c r="E56" s="77">
        <f t="shared" ref="E56" si="4">F56+G56+H56+J56</f>
        <v>300</v>
      </c>
      <c r="F56" s="86">
        <v>0</v>
      </c>
      <c r="G56" s="77">
        <v>0</v>
      </c>
      <c r="H56" s="110">
        <v>300</v>
      </c>
      <c r="I56" s="77">
        <v>0</v>
      </c>
      <c r="J56" s="77">
        <v>0</v>
      </c>
      <c r="K56" s="80"/>
      <c r="L56" s="155"/>
      <c r="M56" s="143"/>
      <c r="N56" s="156" t="s">
        <v>55</v>
      </c>
      <c r="O56" s="157"/>
      <c r="P56" s="158"/>
      <c r="Q56" s="166"/>
      <c r="R56" s="168">
        <v>2212800</v>
      </c>
      <c r="S56" s="168">
        <v>2413400</v>
      </c>
      <c r="T56" s="168">
        <v>2567300</v>
      </c>
      <c r="U56" s="33" t="s">
        <v>56</v>
      </c>
      <c r="V56" s="171">
        <v>2212.8</v>
      </c>
      <c r="W56" s="171">
        <v>2413.4</v>
      </c>
      <c r="X56" s="171">
        <v>2567.3</v>
      </c>
    </row>
    <row r="57" ht="17.25" customHeight="1" spans="1:22">
      <c r="A57" s="107"/>
      <c r="B57" s="75"/>
      <c r="C57" s="109"/>
      <c r="D57" s="80">
        <v>2027</v>
      </c>
      <c r="E57" s="77">
        <f t="shared" si="3"/>
        <v>300</v>
      </c>
      <c r="F57" s="86">
        <v>0</v>
      </c>
      <c r="G57" s="77">
        <v>0</v>
      </c>
      <c r="H57" s="87">
        <v>300</v>
      </c>
      <c r="I57" s="77">
        <v>0</v>
      </c>
      <c r="J57" s="77">
        <v>0</v>
      </c>
      <c r="K57" s="80"/>
      <c r="L57" s="155"/>
      <c r="M57" s="143"/>
      <c r="N57" s="156" t="s">
        <v>57</v>
      </c>
      <c r="O57" s="157"/>
      <c r="P57" s="158"/>
      <c r="Q57" s="166"/>
      <c r="R57" s="168">
        <v>5318100</v>
      </c>
      <c r="S57" s="168">
        <v>0</v>
      </c>
      <c r="T57" s="168">
        <v>0</v>
      </c>
      <c r="U57" s="33" t="s">
        <v>58</v>
      </c>
      <c r="V57" s="170">
        <f>(R57+R59+R85+R86)/1000</f>
        <v>22016.3</v>
      </c>
    </row>
    <row r="58" ht="17.25" customHeight="1" spans="1:22">
      <c r="A58" s="111"/>
      <c r="B58" s="83"/>
      <c r="C58" s="112"/>
      <c r="D58" s="113">
        <v>2028</v>
      </c>
      <c r="E58" s="114">
        <v>0</v>
      </c>
      <c r="F58" s="115">
        <v>0</v>
      </c>
      <c r="G58" s="114">
        <v>0</v>
      </c>
      <c r="H58" s="116">
        <v>300</v>
      </c>
      <c r="I58" s="114">
        <v>0</v>
      </c>
      <c r="J58" s="114">
        <v>0</v>
      </c>
      <c r="K58" s="113"/>
      <c r="L58" s="159"/>
      <c r="M58" s="143"/>
      <c r="N58" s="156"/>
      <c r="O58" s="157"/>
      <c r="P58" s="158"/>
      <c r="Q58" s="166"/>
      <c r="R58" s="168"/>
      <c r="S58" s="168"/>
      <c r="T58" s="168"/>
      <c r="V58" s="170"/>
    </row>
    <row r="59" s="23" customFormat="1" ht="17.25" customHeight="1" spans="1:20">
      <c r="A59" s="117"/>
      <c r="B59" s="118"/>
      <c r="C59" s="119"/>
      <c r="D59" s="120" t="s">
        <v>27</v>
      </c>
      <c r="E59" s="121">
        <f>SUM(F59:J59)</f>
        <v>3572.3</v>
      </c>
      <c r="F59" s="121">
        <f>F37+F38+F39+F40+F41+F42+F43+F44+F48+F49+F50+F51+F52+F53+F54+F55+F46+F57</f>
        <v>0</v>
      </c>
      <c r="G59" s="121">
        <f>G37+G38+G39+G40+G41+G42+G43+G44+G48+G49+G50+G51+G52+G53+G54+G55+G46+G57</f>
        <v>0</v>
      </c>
      <c r="H59" s="121">
        <f>H37+H38+H39+H40+H41+H42+H43+H44+H48+H49+H50+H51+H52+H53+H54+H55+H46+H57+H45+H56+H58</f>
        <v>3572.3</v>
      </c>
      <c r="I59" s="121">
        <f>I37+I38+I39+I40+I41+I42+I43+I44+I48+I49+I50+I51+I52+I53+I54+I55+I46+I57</f>
        <v>0</v>
      </c>
      <c r="J59" s="160">
        <f>J37+J38+J39+J40+J41+J42+J43+J44+J48+J49+J50+J51+J52+J53+J54+J55+J46+J57</f>
        <v>0</v>
      </c>
      <c r="K59" s="161"/>
      <c r="L59" s="162"/>
      <c r="M59" s="137"/>
      <c r="N59" s="156" t="s">
        <v>59</v>
      </c>
      <c r="O59" s="157"/>
      <c r="P59" s="158"/>
      <c r="Q59" s="166"/>
      <c r="R59" s="168">
        <v>1512600</v>
      </c>
      <c r="S59" s="168">
        <v>0</v>
      </c>
      <c r="T59" s="168">
        <v>0</v>
      </c>
    </row>
    <row r="60" ht="33" customHeight="1" spans="1:22">
      <c r="A60" s="71" t="s">
        <v>60</v>
      </c>
      <c r="B60" s="122" t="s">
        <v>61</v>
      </c>
      <c r="C60" s="123"/>
      <c r="D60" s="123"/>
      <c r="E60" s="123"/>
      <c r="F60" s="123"/>
      <c r="G60" s="123"/>
      <c r="H60" s="123"/>
      <c r="I60" s="123"/>
      <c r="J60" s="123"/>
      <c r="K60" s="123"/>
      <c r="L60" s="163"/>
      <c r="M60" s="150"/>
      <c r="N60" s="156" t="s">
        <v>62</v>
      </c>
      <c r="O60" s="157"/>
      <c r="P60" s="158"/>
      <c r="Q60" s="166"/>
      <c r="R60" s="168">
        <v>20350000</v>
      </c>
      <c r="S60" s="168">
        <v>0</v>
      </c>
      <c r="T60" s="168">
        <v>0</v>
      </c>
      <c r="U60" s="33" t="s">
        <v>63</v>
      </c>
      <c r="V60" s="171">
        <v>20350</v>
      </c>
    </row>
    <row r="61" ht="20.25" spans="1:24">
      <c r="A61" s="68"/>
      <c r="B61" s="69" t="s">
        <v>64</v>
      </c>
      <c r="C61" s="70"/>
      <c r="D61" s="70"/>
      <c r="E61" s="70"/>
      <c r="F61" s="70"/>
      <c r="G61" s="70"/>
      <c r="H61" s="70"/>
      <c r="I61" s="70"/>
      <c r="J61" s="70"/>
      <c r="K61" s="70"/>
      <c r="L61" s="140"/>
      <c r="M61" s="139"/>
      <c r="N61" s="156" t="s">
        <v>65</v>
      </c>
      <c r="O61" s="157"/>
      <c r="P61" s="158"/>
      <c r="Q61" s="166"/>
      <c r="R61" s="168">
        <v>269613600</v>
      </c>
      <c r="S61" s="168">
        <v>238613600</v>
      </c>
      <c r="T61" s="168">
        <v>238613600</v>
      </c>
      <c r="U61" s="33" t="s">
        <v>66</v>
      </c>
      <c r="V61" s="171">
        <v>300882.3</v>
      </c>
      <c r="W61" s="171">
        <v>269882.3</v>
      </c>
      <c r="X61" s="171">
        <v>269882.3</v>
      </c>
    </row>
    <row r="62" ht="26.25" customHeight="1" spans="1:20">
      <c r="A62" s="124" t="s">
        <v>67</v>
      </c>
      <c r="B62" s="125"/>
      <c r="C62" s="125"/>
      <c r="D62" s="125"/>
      <c r="E62" s="125"/>
      <c r="F62" s="125"/>
      <c r="G62" s="125"/>
      <c r="H62" s="125"/>
      <c r="I62" s="125"/>
      <c r="J62" s="125"/>
      <c r="K62" s="125"/>
      <c r="L62" s="164"/>
      <c r="M62" s="165"/>
      <c r="N62" s="156" t="s">
        <v>68</v>
      </c>
      <c r="O62" s="157"/>
      <c r="P62" s="158"/>
      <c r="Q62" s="166"/>
      <c r="R62" s="168">
        <v>31268700</v>
      </c>
      <c r="S62" s="168">
        <v>31268700</v>
      </c>
      <c r="T62" s="168">
        <v>31268700</v>
      </c>
    </row>
    <row r="63" ht="17.25" customHeight="1" spans="1:20">
      <c r="A63" s="102" t="s">
        <v>69</v>
      </c>
      <c r="B63" s="126" t="s">
        <v>70</v>
      </c>
      <c r="C63" s="104"/>
      <c r="D63" s="105">
        <v>2018</v>
      </c>
      <c r="E63" s="106">
        <f>F63+G63+H63+J63</f>
        <v>110.4</v>
      </c>
      <c r="F63" s="106">
        <v>0</v>
      </c>
      <c r="G63" s="106">
        <v>0</v>
      </c>
      <c r="H63" s="106">
        <v>110.4</v>
      </c>
      <c r="I63" s="106">
        <v>0</v>
      </c>
      <c r="J63" s="106">
        <v>0</v>
      </c>
      <c r="K63" s="153" t="s">
        <v>71</v>
      </c>
      <c r="L63" s="154" t="s">
        <v>35</v>
      </c>
      <c r="M63" s="143"/>
      <c r="N63" s="156" t="s">
        <v>72</v>
      </c>
      <c r="O63" s="157"/>
      <c r="P63" s="158"/>
      <c r="Q63" s="166"/>
      <c r="R63" s="167">
        <v>76992900</v>
      </c>
      <c r="S63" s="168">
        <v>0</v>
      </c>
      <c r="T63" s="168">
        <v>0</v>
      </c>
    </row>
    <row r="64" ht="17.25" customHeight="1" spans="1:20">
      <c r="A64" s="107"/>
      <c r="B64" s="79"/>
      <c r="C64" s="108"/>
      <c r="D64" s="76">
        <v>2019</v>
      </c>
      <c r="E64" s="77">
        <f t="shared" ref="E64:E72" si="5">F64+G64+H64+J64</f>
        <v>110.4</v>
      </c>
      <c r="F64" s="77">
        <v>0</v>
      </c>
      <c r="G64" s="77">
        <v>0</v>
      </c>
      <c r="H64" s="77">
        <v>110.4</v>
      </c>
      <c r="I64" s="77">
        <v>0</v>
      </c>
      <c r="J64" s="77">
        <v>0</v>
      </c>
      <c r="K64" s="80"/>
      <c r="L64" s="155"/>
      <c r="M64" s="143"/>
      <c r="N64" s="156" t="s">
        <v>73</v>
      </c>
      <c r="O64" s="157"/>
      <c r="P64" s="158"/>
      <c r="Q64" s="166"/>
      <c r="R64" s="167">
        <v>345000</v>
      </c>
      <c r="S64" s="168">
        <v>0</v>
      </c>
      <c r="T64" s="168">
        <v>0</v>
      </c>
    </row>
    <row r="65" ht="17.25" customHeight="1" spans="1:24">
      <c r="A65" s="107"/>
      <c r="B65" s="79"/>
      <c r="C65" s="108"/>
      <c r="D65" s="80">
        <v>2020</v>
      </c>
      <c r="E65" s="77">
        <f t="shared" si="5"/>
        <v>110.4</v>
      </c>
      <c r="F65" s="86">
        <v>0</v>
      </c>
      <c r="G65" s="77">
        <v>0</v>
      </c>
      <c r="H65" s="77">
        <v>110.4</v>
      </c>
      <c r="I65" s="77">
        <v>0</v>
      </c>
      <c r="J65" s="77">
        <v>0</v>
      </c>
      <c r="K65" s="80"/>
      <c r="L65" s="155"/>
      <c r="M65" s="143"/>
      <c r="N65" s="156" t="s">
        <v>74</v>
      </c>
      <c r="O65" s="157"/>
      <c r="P65" s="158"/>
      <c r="Q65" s="166"/>
      <c r="R65" s="168">
        <v>34754400</v>
      </c>
      <c r="S65" s="168">
        <v>24241300</v>
      </c>
      <c r="T65" s="168">
        <v>24241300</v>
      </c>
      <c r="U65" s="33" t="s">
        <v>75</v>
      </c>
      <c r="V65" s="171">
        <f>3442.2+4739.6+147.1+106.1+603.7+19330+10863.1</f>
        <v>39231.8</v>
      </c>
      <c r="W65" s="171">
        <f>3660.2+4739.6+147.1+106.1+19330+10863.1+603.7</f>
        <v>39449.8</v>
      </c>
      <c r="X65" s="171">
        <v>36763.9</v>
      </c>
    </row>
    <row r="66" ht="17.25" customHeight="1" spans="1:20">
      <c r="A66" s="107"/>
      <c r="B66" s="79"/>
      <c r="C66" s="109"/>
      <c r="D66" s="80">
        <v>2021</v>
      </c>
      <c r="E66" s="77">
        <f t="shared" si="5"/>
        <v>110.4</v>
      </c>
      <c r="F66" s="86">
        <v>0</v>
      </c>
      <c r="G66" s="77">
        <v>0</v>
      </c>
      <c r="H66" s="77">
        <v>110.4</v>
      </c>
      <c r="I66" s="77">
        <v>0</v>
      </c>
      <c r="J66" s="77">
        <v>0</v>
      </c>
      <c r="K66" s="80"/>
      <c r="L66" s="155"/>
      <c r="M66" s="143"/>
      <c r="N66" s="156" t="s">
        <v>76</v>
      </c>
      <c r="O66" s="157"/>
      <c r="P66" s="158"/>
      <c r="Q66" s="166"/>
      <c r="R66" s="168">
        <v>4477400</v>
      </c>
      <c r="S66" s="168">
        <v>4127400</v>
      </c>
      <c r="T66" s="168">
        <v>4127400</v>
      </c>
    </row>
    <row r="67" ht="17.25" customHeight="1" spans="1:20">
      <c r="A67" s="107"/>
      <c r="B67" s="79"/>
      <c r="C67" s="109"/>
      <c r="D67" s="80">
        <v>2022</v>
      </c>
      <c r="E67" s="77">
        <f t="shared" si="5"/>
        <v>110.4</v>
      </c>
      <c r="F67" s="86">
        <v>0</v>
      </c>
      <c r="G67" s="77">
        <v>0</v>
      </c>
      <c r="H67" s="77">
        <v>110.4</v>
      </c>
      <c r="I67" s="77">
        <v>0</v>
      </c>
      <c r="J67" s="77">
        <v>0</v>
      </c>
      <c r="K67" s="80"/>
      <c r="L67" s="155"/>
      <c r="M67" s="143"/>
      <c r="N67" s="156" t="s">
        <v>77</v>
      </c>
      <c r="O67" s="157"/>
      <c r="P67" s="158"/>
      <c r="Q67" s="166"/>
      <c r="R67" s="168">
        <v>6020100</v>
      </c>
      <c r="S67" s="168">
        <v>5914300</v>
      </c>
      <c r="T67" s="168">
        <v>5979900</v>
      </c>
    </row>
    <row r="68" ht="17.25" customHeight="1" spans="1:20">
      <c r="A68" s="107"/>
      <c r="B68" s="79"/>
      <c r="C68" s="109"/>
      <c r="D68" s="80">
        <v>2023</v>
      </c>
      <c r="E68" s="77">
        <f t="shared" si="5"/>
        <v>200</v>
      </c>
      <c r="F68" s="86">
        <v>0</v>
      </c>
      <c r="G68" s="77">
        <v>0</v>
      </c>
      <c r="H68" s="77">
        <v>200</v>
      </c>
      <c r="I68" s="77">
        <v>0</v>
      </c>
      <c r="J68" s="77">
        <v>0</v>
      </c>
      <c r="K68" s="80"/>
      <c r="L68" s="155"/>
      <c r="M68" s="143"/>
      <c r="N68" s="156" t="s">
        <v>78</v>
      </c>
      <c r="O68" s="157"/>
      <c r="P68" s="158"/>
      <c r="Q68" s="166"/>
      <c r="R68" s="168">
        <v>600000</v>
      </c>
      <c r="S68" s="168">
        <v>970600</v>
      </c>
      <c r="T68" s="168">
        <v>970600</v>
      </c>
    </row>
    <row r="69" ht="17.25" customHeight="1" spans="1:24">
      <c r="A69" s="107"/>
      <c r="B69" s="79"/>
      <c r="C69" s="109"/>
      <c r="D69" s="80">
        <v>2024</v>
      </c>
      <c r="E69" s="77">
        <f t="shared" si="5"/>
        <v>320</v>
      </c>
      <c r="F69" s="86">
        <v>0</v>
      </c>
      <c r="G69" s="77">
        <v>0</v>
      </c>
      <c r="H69" s="87">
        <f>200+120</f>
        <v>320</v>
      </c>
      <c r="I69" s="77">
        <v>0</v>
      </c>
      <c r="J69" s="77">
        <v>0</v>
      </c>
      <c r="K69" s="80"/>
      <c r="L69" s="155"/>
      <c r="M69" s="143"/>
      <c r="N69" s="156" t="s">
        <v>79</v>
      </c>
      <c r="O69" s="157"/>
      <c r="P69" s="158"/>
      <c r="Q69" s="166"/>
      <c r="R69" s="168">
        <v>849034500</v>
      </c>
      <c r="S69" s="168">
        <v>908441700</v>
      </c>
      <c r="T69" s="168">
        <v>948305200</v>
      </c>
      <c r="U69" s="33" t="s">
        <v>66</v>
      </c>
      <c r="V69" s="171">
        <v>940184.2</v>
      </c>
      <c r="W69" s="171">
        <v>1006669.1</v>
      </c>
      <c r="X69" s="171">
        <v>1053012.9</v>
      </c>
    </row>
    <row r="70" ht="69" customHeight="1" spans="1:24">
      <c r="A70" s="107"/>
      <c r="B70" s="85"/>
      <c r="C70" s="109"/>
      <c r="D70" s="80">
        <v>2025</v>
      </c>
      <c r="E70" s="77">
        <f t="shared" si="5"/>
        <v>200</v>
      </c>
      <c r="F70" s="86">
        <v>0</v>
      </c>
      <c r="G70" s="77">
        <v>0</v>
      </c>
      <c r="H70" s="87">
        <v>200</v>
      </c>
      <c r="I70" s="77">
        <v>0</v>
      </c>
      <c r="J70" s="77">
        <v>0</v>
      </c>
      <c r="K70" s="80"/>
      <c r="L70" s="155"/>
      <c r="M70" s="143"/>
      <c r="N70" s="156" t="s">
        <v>80</v>
      </c>
      <c r="O70" s="157"/>
      <c r="P70" s="158"/>
      <c r="Q70" s="166"/>
      <c r="R70" s="168">
        <v>206482200</v>
      </c>
      <c r="S70" s="168">
        <v>207484000</v>
      </c>
      <c r="T70" s="168">
        <v>208550500</v>
      </c>
      <c r="V70" s="171">
        <v>222151.8</v>
      </c>
      <c r="W70" s="171">
        <v>223153.6</v>
      </c>
      <c r="X70" s="171">
        <v>224220.1</v>
      </c>
    </row>
    <row r="71" ht="63" customHeight="1" spans="1:20">
      <c r="A71" s="107"/>
      <c r="B71" s="74" t="s">
        <v>81</v>
      </c>
      <c r="C71" s="109"/>
      <c r="D71" s="80">
        <v>2026</v>
      </c>
      <c r="E71" s="77">
        <f t="shared" ref="E71" si="6">F71+G71+H71+J71</f>
        <v>300</v>
      </c>
      <c r="F71" s="86">
        <v>0</v>
      </c>
      <c r="G71" s="77">
        <v>0</v>
      </c>
      <c r="H71" s="87">
        <v>300</v>
      </c>
      <c r="I71" s="77">
        <v>0</v>
      </c>
      <c r="J71" s="77">
        <v>0</v>
      </c>
      <c r="K71" s="80"/>
      <c r="L71" s="155"/>
      <c r="M71" s="143"/>
      <c r="N71" s="156" t="s">
        <v>82</v>
      </c>
      <c r="O71" s="157"/>
      <c r="P71" s="158"/>
      <c r="Q71" s="166"/>
      <c r="R71" s="168">
        <v>91149700</v>
      </c>
      <c r="S71" s="168">
        <v>98227400</v>
      </c>
      <c r="T71" s="168">
        <v>104707700</v>
      </c>
    </row>
    <row r="72" ht="66" customHeight="1" spans="1:20">
      <c r="A72" s="107"/>
      <c r="B72" s="79"/>
      <c r="C72" s="109"/>
      <c r="D72" s="80">
        <v>2027</v>
      </c>
      <c r="E72" s="77">
        <f t="shared" si="5"/>
        <v>300</v>
      </c>
      <c r="F72" s="86">
        <v>0</v>
      </c>
      <c r="G72" s="77">
        <v>0</v>
      </c>
      <c r="H72" s="87">
        <v>300</v>
      </c>
      <c r="I72" s="77">
        <v>0</v>
      </c>
      <c r="J72" s="77">
        <v>0</v>
      </c>
      <c r="K72" s="80"/>
      <c r="L72" s="155"/>
      <c r="M72" s="143"/>
      <c r="N72" s="156" t="s">
        <v>83</v>
      </c>
      <c r="O72" s="157"/>
      <c r="P72" s="158"/>
      <c r="Q72" s="166"/>
      <c r="R72" s="168">
        <v>15669600</v>
      </c>
      <c r="S72" s="168">
        <v>15669600</v>
      </c>
      <c r="T72" s="168">
        <v>15669600</v>
      </c>
    </row>
    <row r="73" ht="90" customHeight="1" spans="1:20">
      <c r="A73" s="111"/>
      <c r="B73" s="172"/>
      <c r="C73" s="112"/>
      <c r="D73" s="113">
        <v>2028</v>
      </c>
      <c r="E73" s="114">
        <f>F73+G73+H73+I73+J73</f>
        <v>300</v>
      </c>
      <c r="F73" s="115">
        <v>0</v>
      </c>
      <c r="G73" s="114">
        <v>0</v>
      </c>
      <c r="H73" s="116">
        <v>300</v>
      </c>
      <c r="I73" s="114">
        <v>0</v>
      </c>
      <c r="J73" s="114">
        <v>0</v>
      </c>
      <c r="K73" s="113"/>
      <c r="L73" s="159"/>
      <c r="M73" s="143"/>
      <c r="N73" s="156"/>
      <c r="O73" s="157"/>
      <c r="P73" s="158"/>
      <c r="Q73" s="166"/>
      <c r="R73" s="168"/>
      <c r="S73" s="168"/>
      <c r="T73" s="168"/>
    </row>
    <row r="74" s="23" customFormat="1" customHeight="1" spans="1:22">
      <c r="A74" s="173"/>
      <c r="B74" s="174"/>
      <c r="C74" s="175"/>
      <c r="D74" s="96" t="s">
        <v>27</v>
      </c>
      <c r="E74" s="90">
        <f>F74+G74+H74+I74+J74</f>
        <v>2172</v>
      </c>
      <c r="F74" s="90">
        <f>F63+F64+F65+F66+F67+F68+F69+F70+F72+F71+F73</f>
        <v>0</v>
      </c>
      <c r="G74" s="90">
        <f>G63+G64+G65+G66+G67+G68+G69+G70+G72</f>
        <v>0</v>
      </c>
      <c r="H74" s="90">
        <f>H63+H64+H65+H66+H67+H68+H69+H70+H72+H71+H73</f>
        <v>2172</v>
      </c>
      <c r="I74" s="90">
        <f>I63+I64+I65+I66+I67+I68+I69+I70+I72</f>
        <v>0</v>
      </c>
      <c r="J74" s="146">
        <f>J63+J64+J65+J66+J67+J68+J69+J70+J72</f>
        <v>0</v>
      </c>
      <c r="K74" s="182"/>
      <c r="L74" s="183"/>
      <c r="M74" s="184"/>
      <c r="N74" s="185" t="s">
        <v>84</v>
      </c>
      <c r="O74" s="186"/>
      <c r="P74" s="187"/>
      <c r="Q74" s="195"/>
      <c r="R74" s="196">
        <v>29036400</v>
      </c>
      <c r="S74" s="196">
        <v>31286500</v>
      </c>
      <c r="T74" s="196">
        <v>33671000</v>
      </c>
      <c r="U74" s="23" t="s">
        <v>85</v>
      </c>
      <c r="V74" s="197">
        <v>31897.1</v>
      </c>
    </row>
    <row r="75" ht="36" customHeight="1" spans="1:20">
      <c r="A75" s="71" t="s">
        <v>86</v>
      </c>
      <c r="B75" s="97" t="s">
        <v>87</v>
      </c>
      <c r="C75" s="98"/>
      <c r="D75" s="98"/>
      <c r="E75" s="98"/>
      <c r="F75" s="98"/>
      <c r="G75" s="98"/>
      <c r="H75" s="98"/>
      <c r="I75" s="98"/>
      <c r="J75" s="98"/>
      <c r="K75" s="98"/>
      <c r="L75" s="149"/>
      <c r="M75" s="150"/>
      <c r="N75" s="188" t="s">
        <v>88</v>
      </c>
      <c r="O75" s="189"/>
      <c r="P75" s="190"/>
      <c r="Q75" s="198"/>
      <c r="R75" s="199">
        <v>2860700</v>
      </c>
      <c r="S75" s="199">
        <v>2974500</v>
      </c>
      <c r="T75" s="199">
        <v>3092900</v>
      </c>
    </row>
    <row r="76" ht="37.5" customHeight="1" spans="1:24">
      <c r="A76" s="68"/>
      <c r="B76" s="176" t="s">
        <v>89</v>
      </c>
      <c r="C76" s="177"/>
      <c r="D76" s="177"/>
      <c r="E76" s="177"/>
      <c r="F76" s="177"/>
      <c r="G76" s="177"/>
      <c r="H76" s="177"/>
      <c r="I76" s="177"/>
      <c r="J76" s="177"/>
      <c r="K76" s="177"/>
      <c r="L76" s="191"/>
      <c r="M76" s="150"/>
      <c r="N76" s="156" t="s">
        <v>90</v>
      </c>
      <c r="O76" s="157"/>
      <c r="P76" s="158"/>
      <c r="Q76" s="166"/>
      <c r="R76" s="168">
        <v>3111200</v>
      </c>
      <c r="S76" s="168">
        <v>3221700</v>
      </c>
      <c r="T76" s="168">
        <v>3221700</v>
      </c>
      <c r="U76" s="33" t="s">
        <v>91</v>
      </c>
      <c r="V76" s="171">
        <v>3590.4</v>
      </c>
      <c r="W76" s="171">
        <v>3700.9</v>
      </c>
      <c r="X76" s="171">
        <v>3700.9</v>
      </c>
    </row>
    <row r="77" s="26" customFormat="1" ht="19.5" customHeight="1" spans="1:20">
      <c r="A77" s="124" t="s">
        <v>92</v>
      </c>
      <c r="B77" s="125"/>
      <c r="C77" s="125"/>
      <c r="D77" s="125"/>
      <c r="E77" s="125"/>
      <c r="F77" s="125"/>
      <c r="G77" s="125"/>
      <c r="H77" s="125"/>
      <c r="I77" s="125"/>
      <c r="J77" s="125"/>
      <c r="K77" s="125"/>
      <c r="L77" s="164"/>
      <c r="M77" s="165"/>
      <c r="N77" s="156" t="s">
        <v>93</v>
      </c>
      <c r="O77" s="157"/>
      <c r="P77" s="158"/>
      <c r="Q77" s="166"/>
      <c r="R77" s="168">
        <v>479200</v>
      </c>
      <c r="S77" s="168">
        <v>479200</v>
      </c>
      <c r="T77" s="168">
        <v>479200</v>
      </c>
    </row>
    <row r="78" ht="17.45" customHeight="1" spans="1:24">
      <c r="A78" s="178" t="s">
        <v>94</v>
      </c>
      <c r="B78" s="103" t="s">
        <v>95</v>
      </c>
      <c r="C78" s="104"/>
      <c r="D78" s="105">
        <v>2018</v>
      </c>
      <c r="E78" s="106">
        <f>F78+G78+H78+J78</f>
        <v>395684.1</v>
      </c>
      <c r="F78" s="106">
        <v>0</v>
      </c>
      <c r="G78" s="106">
        <f>G89</f>
        <v>306118.7</v>
      </c>
      <c r="H78" s="106">
        <f>H89+H111+H122+H131+H140</f>
        <v>89565.4</v>
      </c>
      <c r="I78" s="106">
        <v>0</v>
      </c>
      <c r="J78" s="106">
        <v>0</v>
      </c>
      <c r="K78" s="192" t="s">
        <v>96</v>
      </c>
      <c r="L78" s="154" t="s">
        <v>35</v>
      </c>
      <c r="M78" s="193">
        <f>E78-'[1]Лист1 '!$E$78</f>
        <v>0</v>
      </c>
      <c r="N78" s="156" t="s">
        <v>97</v>
      </c>
      <c r="O78" s="157"/>
      <c r="P78" s="158"/>
      <c r="Q78" s="166"/>
      <c r="R78" s="168">
        <v>2374600</v>
      </c>
      <c r="S78" s="168">
        <v>2651600</v>
      </c>
      <c r="T78" s="168">
        <v>2947700</v>
      </c>
      <c r="U78" s="33" t="s">
        <v>98</v>
      </c>
      <c r="V78" s="171">
        <v>2728.1</v>
      </c>
      <c r="W78" s="171">
        <v>3019.2</v>
      </c>
      <c r="X78" s="171">
        <v>3330</v>
      </c>
    </row>
    <row r="79" ht="17.45" customHeight="1" spans="1:20">
      <c r="A79" s="178"/>
      <c r="B79" s="75"/>
      <c r="C79" s="108">
        <v>0</v>
      </c>
      <c r="D79" s="76">
        <v>2019</v>
      </c>
      <c r="E79" s="77">
        <f t="shared" ref="E79:E195" si="7">F79+G79+H79+J79</f>
        <v>411887.9</v>
      </c>
      <c r="F79" s="77">
        <v>0</v>
      </c>
      <c r="G79" s="77">
        <f t="shared" ref="G79:G82" si="8">G90</f>
        <v>318164</v>
      </c>
      <c r="H79" s="77">
        <f>H90+H112+H123+H132+H141</f>
        <v>93723.9</v>
      </c>
      <c r="I79" s="77">
        <v>0</v>
      </c>
      <c r="J79" s="77">
        <v>0</v>
      </c>
      <c r="K79" s="144"/>
      <c r="L79" s="155"/>
      <c r="M79" s="143"/>
      <c r="N79" s="156" t="s">
        <v>99</v>
      </c>
      <c r="O79" s="157"/>
      <c r="P79" s="158"/>
      <c r="Q79" s="166"/>
      <c r="R79" s="168">
        <v>353500</v>
      </c>
      <c r="S79" s="168">
        <v>367600</v>
      </c>
      <c r="T79" s="168">
        <v>382300</v>
      </c>
    </row>
    <row r="80" ht="17.45" customHeight="1" spans="1:24">
      <c r="A80" s="178"/>
      <c r="B80" s="75"/>
      <c r="C80" s="108">
        <v>0</v>
      </c>
      <c r="D80" s="80">
        <v>2020</v>
      </c>
      <c r="E80" s="77">
        <f t="shared" si="7"/>
        <v>421625.8</v>
      </c>
      <c r="F80" s="86">
        <v>0</v>
      </c>
      <c r="G80" s="77">
        <f t="shared" si="8"/>
        <v>330071.5</v>
      </c>
      <c r="H80" s="77">
        <f>H91+H113+H124+H133+H142</f>
        <v>91554.3</v>
      </c>
      <c r="I80" s="77">
        <v>0</v>
      </c>
      <c r="J80" s="77">
        <v>0</v>
      </c>
      <c r="K80" s="144"/>
      <c r="L80" s="155"/>
      <c r="M80" s="143"/>
      <c r="N80" s="156" t="s">
        <v>100</v>
      </c>
      <c r="O80" s="157"/>
      <c r="P80" s="158"/>
      <c r="Q80" s="166"/>
      <c r="R80" s="168">
        <v>74489200</v>
      </c>
      <c r="S80" s="168">
        <v>76005400</v>
      </c>
      <c r="T80" s="168">
        <v>75884200</v>
      </c>
      <c r="U80" s="33" t="s">
        <v>101</v>
      </c>
      <c r="V80" s="171">
        <v>87370.8</v>
      </c>
      <c r="W80" s="171">
        <v>89148.4</v>
      </c>
      <c r="X80" s="171">
        <v>89007.2</v>
      </c>
    </row>
    <row r="81" ht="17.45" customHeight="1" spans="1:20">
      <c r="A81" s="178"/>
      <c r="B81" s="75"/>
      <c r="C81" s="109">
        <v>0</v>
      </c>
      <c r="D81" s="80">
        <v>2021</v>
      </c>
      <c r="E81" s="77">
        <f t="shared" si="7"/>
        <v>445861.7</v>
      </c>
      <c r="F81" s="86">
        <v>0</v>
      </c>
      <c r="G81" s="77">
        <f t="shared" si="8"/>
        <v>338734.3</v>
      </c>
      <c r="H81" s="77">
        <f>H92+H114+H125+H134+H143</f>
        <v>107127.4</v>
      </c>
      <c r="I81" s="77">
        <v>0</v>
      </c>
      <c r="J81" s="77">
        <v>0</v>
      </c>
      <c r="K81" s="144"/>
      <c r="L81" s="155"/>
      <c r="M81" s="143"/>
      <c r="N81" s="156" t="s">
        <v>102</v>
      </c>
      <c r="O81" s="157"/>
      <c r="P81" s="158"/>
      <c r="Q81" s="166"/>
      <c r="R81" s="168">
        <v>12881600</v>
      </c>
      <c r="S81" s="168">
        <v>13143000</v>
      </c>
      <c r="T81" s="168">
        <v>13123000</v>
      </c>
    </row>
    <row r="82" ht="17.45" customHeight="1" spans="1:22">
      <c r="A82" s="178"/>
      <c r="B82" s="75"/>
      <c r="C82" s="109">
        <v>0</v>
      </c>
      <c r="D82" s="80">
        <v>2022</v>
      </c>
      <c r="E82" s="77">
        <f t="shared" si="7"/>
        <v>497322</v>
      </c>
      <c r="F82" s="86">
        <v>0</v>
      </c>
      <c r="G82" s="77">
        <f t="shared" si="8"/>
        <v>371198.8</v>
      </c>
      <c r="H82" s="77">
        <f>H93+H115+H126+H135+H144</f>
        <v>126123.2</v>
      </c>
      <c r="I82" s="77">
        <v>0</v>
      </c>
      <c r="J82" s="77">
        <v>0</v>
      </c>
      <c r="K82" s="144"/>
      <c r="L82" s="155"/>
      <c r="M82" s="143"/>
      <c r="N82" s="156" t="s">
        <v>103</v>
      </c>
      <c r="O82" s="157"/>
      <c r="P82" s="158"/>
      <c r="Q82" s="166"/>
      <c r="R82" s="168">
        <v>34715000</v>
      </c>
      <c r="S82" s="168">
        <v>0</v>
      </c>
      <c r="T82" s="168">
        <v>0</v>
      </c>
      <c r="U82" s="33" t="s">
        <v>104</v>
      </c>
      <c r="V82" s="171">
        <f>32000+2715</f>
        <v>34715</v>
      </c>
    </row>
    <row r="83" ht="17.45" customHeight="1" spans="1:24">
      <c r="A83" s="178"/>
      <c r="B83" s="75"/>
      <c r="C83" s="109">
        <v>0</v>
      </c>
      <c r="D83" s="80">
        <v>2023</v>
      </c>
      <c r="E83" s="77">
        <f t="shared" si="7"/>
        <v>535884.3</v>
      </c>
      <c r="F83" s="86">
        <v>0</v>
      </c>
      <c r="G83" s="77">
        <f t="shared" ref="G83:G88" si="9">G94+G105</f>
        <v>407477.7</v>
      </c>
      <c r="H83" s="77">
        <f>H94+H105+H116+H127+H136+H145</f>
        <v>128406.6</v>
      </c>
      <c r="I83" s="77">
        <v>0</v>
      </c>
      <c r="J83" s="77">
        <v>0</v>
      </c>
      <c r="K83" s="144"/>
      <c r="L83" s="155"/>
      <c r="M83" s="143"/>
      <c r="N83" s="156" t="s">
        <v>105</v>
      </c>
      <c r="O83" s="157"/>
      <c r="P83" s="158"/>
      <c r="Q83" s="166"/>
      <c r="R83" s="168">
        <v>19466300</v>
      </c>
      <c r="S83" s="168">
        <v>22276300</v>
      </c>
      <c r="T83" s="168">
        <v>23066900</v>
      </c>
      <c r="U83" s="33" t="s">
        <v>106</v>
      </c>
      <c r="V83" s="33">
        <f>20635.7</f>
        <v>20635.7</v>
      </c>
      <c r="W83" s="200">
        <v>23653.5</v>
      </c>
      <c r="X83" s="200">
        <v>24599.7</v>
      </c>
    </row>
    <row r="84" ht="17.45" customHeight="1" spans="1:20">
      <c r="A84" s="178"/>
      <c r="B84" s="75"/>
      <c r="C84" s="109">
        <v>0</v>
      </c>
      <c r="D84" s="80">
        <v>2024</v>
      </c>
      <c r="E84" s="77">
        <f t="shared" si="7"/>
        <v>665543.5</v>
      </c>
      <c r="F84" s="86">
        <v>0</v>
      </c>
      <c r="G84" s="77">
        <f t="shared" si="9"/>
        <v>516194.6</v>
      </c>
      <c r="H84" s="77">
        <f>H95+H117+H128+H137+H146+H106</f>
        <v>149348.9</v>
      </c>
      <c r="I84" s="77">
        <v>0</v>
      </c>
      <c r="J84" s="77">
        <v>0</v>
      </c>
      <c r="K84" s="144"/>
      <c r="L84" s="155"/>
      <c r="M84" s="143"/>
      <c r="N84" s="156" t="s">
        <v>107</v>
      </c>
      <c r="O84" s="157"/>
      <c r="P84" s="158"/>
      <c r="Q84" s="166"/>
      <c r="R84" s="168">
        <v>1169400</v>
      </c>
      <c r="S84" s="168">
        <v>1377200</v>
      </c>
      <c r="T84" s="168">
        <v>1532800</v>
      </c>
    </row>
    <row r="85" ht="17.45" customHeight="1" spans="1:20">
      <c r="A85" s="178"/>
      <c r="B85" s="75"/>
      <c r="C85" s="109">
        <v>0</v>
      </c>
      <c r="D85" s="80">
        <v>2025</v>
      </c>
      <c r="E85" s="77">
        <f t="shared" si="7"/>
        <v>815905.3</v>
      </c>
      <c r="F85" s="86">
        <v>0</v>
      </c>
      <c r="G85" s="77">
        <f t="shared" si="9"/>
        <v>634851.4</v>
      </c>
      <c r="H85" s="77">
        <f>H96+H118+H129+H138+H147+H107</f>
        <v>181053.9</v>
      </c>
      <c r="I85" s="77">
        <v>0</v>
      </c>
      <c r="J85" s="77">
        <v>0</v>
      </c>
      <c r="K85" s="144"/>
      <c r="L85" s="155"/>
      <c r="M85" s="143"/>
      <c r="N85" s="156" t="s">
        <v>108</v>
      </c>
      <c r="O85" s="157"/>
      <c r="P85" s="158"/>
      <c r="Q85" s="166"/>
      <c r="R85" s="168">
        <v>15179200</v>
      </c>
      <c r="S85" s="168">
        <v>0</v>
      </c>
      <c r="T85" s="168">
        <v>0</v>
      </c>
    </row>
    <row r="86" ht="17.45" customHeight="1" spans="1:20">
      <c r="A86" s="178"/>
      <c r="B86" s="75"/>
      <c r="C86" s="109"/>
      <c r="D86" s="80">
        <v>2026</v>
      </c>
      <c r="E86" s="77">
        <f t="shared" si="7"/>
        <v>854965.1</v>
      </c>
      <c r="F86" s="86">
        <v>0</v>
      </c>
      <c r="G86" s="77">
        <f t="shared" si="9"/>
        <v>659814.1</v>
      </c>
      <c r="H86" s="77">
        <f>H97+H119+H130+H139+H148+H108</f>
        <v>195151</v>
      </c>
      <c r="I86" s="77">
        <v>0</v>
      </c>
      <c r="J86" s="77">
        <v>0</v>
      </c>
      <c r="K86" s="144"/>
      <c r="L86" s="155"/>
      <c r="M86" s="143"/>
      <c r="N86" s="156" t="s">
        <v>109</v>
      </c>
      <c r="O86" s="157"/>
      <c r="P86" s="158"/>
      <c r="Q86" s="166"/>
      <c r="R86" s="168">
        <v>6400</v>
      </c>
      <c r="S86" s="168">
        <v>0</v>
      </c>
      <c r="T86" s="168">
        <v>0</v>
      </c>
    </row>
    <row r="87" ht="17.45" customHeight="1" spans="1:24">
      <c r="A87" s="178"/>
      <c r="B87" s="75"/>
      <c r="C87" s="109"/>
      <c r="D87" s="80">
        <v>2027</v>
      </c>
      <c r="E87" s="77">
        <f t="shared" si="7"/>
        <v>924673.8</v>
      </c>
      <c r="F87" s="86">
        <v>0</v>
      </c>
      <c r="G87" s="77">
        <f t="shared" si="9"/>
        <v>725637.6</v>
      </c>
      <c r="H87" s="77">
        <f>H98+H120+H130+H139+H149+H109</f>
        <v>199036.2</v>
      </c>
      <c r="I87" s="77">
        <v>0</v>
      </c>
      <c r="J87" s="77">
        <v>0</v>
      </c>
      <c r="K87" s="144"/>
      <c r="L87" s="155"/>
      <c r="M87" s="143"/>
      <c r="N87" s="156" t="s">
        <v>110</v>
      </c>
      <c r="O87" s="157"/>
      <c r="P87" s="158"/>
      <c r="Q87" s="166"/>
      <c r="R87" s="168">
        <v>6184700</v>
      </c>
      <c r="S87" s="168">
        <v>6278600</v>
      </c>
      <c r="T87" s="168">
        <v>6392200</v>
      </c>
      <c r="U87" s="33" t="s">
        <v>111</v>
      </c>
      <c r="V87" s="171">
        <v>6747</v>
      </c>
      <c r="W87" s="171">
        <v>6849.4</v>
      </c>
      <c r="X87" s="171">
        <v>6973.3</v>
      </c>
    </row>
    <row r="88" ht="17.45" customHeight="1" spans="1:24">
      <c r="A88" s="178"/>
      <c r="B88" s="75"/>
      <c r="C88" s="109"/>
      <c r="D88" s="80">
        <v>2028</v>
      </c>
      <c r="E88" s="77">
        <v>0</v>
      </c>
      <c r="F88" s="86">
        <v>0</v>
      </c>
      <c r="G88" s="77">
        <f t="shared" si="9"/>
        <v>767841.7</v>
      </c>
      <c r="H88" s="77">
        <f>H99+H110+H121+H150+H161</f>
        <v>206571</v>
      </c>
      <c r="I88" s="77">
        <v>0</v>
      </c>
      <c r="J88" s="77">
        <v>0</v>
      </c>
      <c r="K88" s="145"/>
      <c r="L88" s="155"/>
      <c r="M88" s="143"/>
      <c r="N88" s="156"/>
      <c r="O88" s="157"/>
      <c r="P88" s="158"/>
      <c r="Q88" s="166"/>
      <c r="R88" s="168"/>
      <c r="S88" s="168"/>
      <c r="T88" s="168"/>
      <c r="V88" s="201"/>
      <c r="W88" s="201"/>
      <c r="X88" s="201"/>
    </row>
    <row r="89" ht="17.45" customHeight="1" spans="1:20">
      <c r="A89" s="179" t="s">
        <v>94</v>
      </c>
      <c r="B89" s="75" t="s">
        <v>112</v>
      </c>
      <c r="C89" s="108">
        <v>0</v>
      </c>
      <c r="D89" s="76">
        <v>2018</v>
      </c>
      <c r="E89" s="77">
        <f>F89+G89+H89+J89</f>
        <v>387008.2</v>
      </c>
      <c r="F89" s="77">
        <v>0</v>
      </c>
      <c r="G89" s="77">
        <v>306118.7</v>
      </c>
      <c r="H89" s="77">
        <v>80889.5</v>
      </c>
      <c r="I89" s="77">
        <v>0</v>
      </c>
      <c r="J89" s="77">
        <v>0</v>
      </c>
      <c r="K89" s="82"/>
      <c r="L89" s="155"/>
      <c r="M89" s="143"/>
      <c r="N89" s="156" t="s">
        <v>113</v>
      </c>
      <c r="O89" s="157"/>
      <c r="P89" s="158"/>
      <c r="Q89" s="166"/>
      <c r="R89" s="168">
        <v>562300</v>
      </c>
      <c r="S89" s="168">
        <v>570800</v>
      </c>
      <c r="T89" s="168">
        <v>581100</v>
      </c>
    </row>
    <row r="90" ht="17.45" customHeight="1" spans="1:22">
      <c r="A90" s="179"/>
      <c r="B90" s="75"/>
      <c r="C90" s="108">
        <v>0</v>
      </c>
      <c r="D90" s="76">
        <v>2019</v>
      </c>
      <c r="E90" s="77">
        <f t="shared" si="7"/>
        <v>404942.1</v>
      </c>
      <c r="F90" s="77">
        <v>0</v>
      </c>
      <c r="G90" s="77">
        <v>318164</v>
      </c>
      <c r="H90" s="77">
        <v>86778.1</v>
      </c>
      <c r="I90" s="77">
        <v>0</v>
      </c>
      <c r="J90" s="77">
        <v>0</v>
      </c>
      <c r="K90" s="144"/>
      <c r="L90" s="155"/>
      <c r="M90" s="143"/>
      <c r="N90" s="156" t="s">
        <v>114</v>
      </c>
      <c r="O90" s="157"/>
      <c r="P90" s="158"/>
      <c r="Q90" s="166"/>
      <c r="R90" s="168">
        <v>81132100</v>
      </c>
      <c r="S90" s="168">
        <v>81132100</v>
      </c>
      <c r="T90" s="168">
        <v>81132100</v>
      </c>
      <c r="U90" s="33" t="s">
        <v>115</v>
      </c>
      <c r="V90" s="171">
        <v>90447.3</v>
      </c>
    </row>
    <row r="91" ht="17.45" customHeight="1" spans="1:20">
      <c r="A91" s="179"/>
      <c r="B91" s="75"/>
      <c r="C91" s="108">
        <v>0</v>
      </c>
      <c r="D91" s="80">
        <v>2020</v>
      </c>
      <c r="E91" s="77">
        <f t="shared" si="7"/>
        <v>416470.1</v>
      </c>
      <c r="F91" s="86">
        <v>0</v>
      </c>
      <c r="G91" s="77">
        <v>330071.5</v>
      </c>
      <c r="H91" s="77">
        <v>86398.6</v>
      </c>
      <c r="I91" s="77">
        <v>0</v>
      </c>
      <c r="J91" s="77">
        <v>0</v>
      </c>
      <c r="K91" s="144"/>
      <c r="L91" s="155"/>
      <c r="M91" s="143"/>
      <c r="N91" s="156" t="s">
        <v>116</v>
      </c>
      <c r="O91" s="157"/>
      <c r="P91" s="158"/>
      <c r="Q91" s="166"/>
      <c r="R91" s="168">
        <v>9315200</v>
      </c>
      <c r="S91" s="168">
        <v>9315200</v>
      </c>
      <c r="T91" s="168">
        <v>9315200</v>
      </c>
    </row>
    <row r="92" ht="17.45" customHeight="1" spans="1:24">
      <c r="A92" s="179"/>
      <c r="B92" s="75"/>
      <c r="C92" s="109">
        <v>0</v>
      </c>
      <c r="D92" s="80">
        <v>2021</v>
      </c>
      <c r="E92" s="77">
        <f t="shared" si="7"/>
        <v>445547.6</v>
      </c>
      <c r="F92" s="86">
        <v>0</v>
      </c>
      <c r="G92" s="77">
        <v>338734.3</v>
      </c>
      <c r="H92" s="77">
        <v>106813.3</v>
      </c>
      <c r="I92" s="77">
        <v>0</v>
      </c>
      <c r="J92" s="77">
        <v>0</v>
      </c>
      <c r="K92" s="144"/>
      <c r="L92" s="155"/>
      <c r="M92" s="143"/>
      <c r="N92" s="156" t="s">
        <v>117</v>
      </c>
      <c r="O92" s="157"/>
      <c r="P92" s="158"/>
      <c r="Q92" s="166"/>
      <c r="R92" s="168">
        <v>5949800</v>
      </c>
      <c r="S92" s="168">
        <v>0</v>
      </c>
      <c r="T92" s="168">
        <v>0</v>
      </c>
      <c r="U92" s="33" t="s">
        <v>118</v>
      </c>
      <c r="V92" s="171">
        <v>99514.4</v>
      </c>
      <c r="W92" s="171">
        <v>93707.5</v>
      </c>
      <c r="X92" s="171">
        <v>93707.5</v>
      </c>
    </row>
    <row r="93" ht="17.45" customHeight="1" spans="1:24">
      <c r="A93" s="179"/>
      <c r="B93" s="75"/>
      <c r="C93" s="109">
        <v>0</v>
      </c>
      <c r="D93" s="80">
        <v>2022</v>
      </c>
      <c r="E93" s="77">
        <f t="shared" si="7"/>
        <v>495773.5</v>
      </c>
      <c r="F93" s="86">
        <v>0</v>
      </c>
      <c r="G93" s="77">
        <f>342193.5+28654.5+350.8</f>
        <v>371198.8</v>
      </c>
      <c r="H93" s="77">
        <f>122626.7+671.6+1747-48.5+130-1197.5+645.4</f>
        <v>124574.7</v>
      </c>
      <c r="I93" s="77">
        <v>0</v>
      </c>
      <c r="J93" s="77">
        <v>0</v>
      </c>
      <c r="K93" s="144"/>
      <c r="L93" s="155"/>
      <c r="M93" s="143"/>
      <c r="N93" s="156" t="s">
        <v>119</v>
      </c>
      <c r="O93" s="157"/>
      <c r="P93" s="158"/>
      <c r="Q93" s="166"/>
      <c r="R93" s="168">
        <v>38597600</v>
      </c>
      <c r="S93" s="168">
        <v>38426900</v>
      </c>
      <c r="T93" s="168">
        <v>38426900</v>
      </c>
      <c r="V93" s="170"/>
      <c r="W93" s="170"/>
      <c r="X93" s="170"/>
    </row>
    <row r="94" ht="17.45" customHeight="1" spans="1:22">
      <c r="A94" s="179"/>
      <c r="B94" s="75"/>
      <c r="C94" s="109">
        <v>0</v>
      </c>
      <c r="D94" s="80">
        <v>2023</v>
      </c>
      <c r="E94" s="77">
        <f t="shared" si="7"/>
        <v>487172.6</v>
      </c>
      <c r="F94" s="86">
        <v>0</v>
      </c>
      <c r="G94" s="77">
        <f>343740.2+1956-29.3+4532.8+8793.3</f>
        <v>358993</v>
      </c>
      <c r="H94" s="77">
        <f>119761.6+505.8+1373.5+416+171.6+376.9+4711.6+53.8+120.6+862.4+212-386.2</f>
        <v>128179.6</v>
      </c>
      <c r="I94" s="77">
        <v>0</v>
      </c>
      <c r="J94" s="77">
        <v>0</v>
      </c>
      <c r="K94" s="144"/>
      <c r="L94" s="155"/>
      <c r="M94" s="143"/>
      <c r="N94" s="156" t="s">
        <v>120</v>
      </c>
      <c r="O94" s="157"/>
      <c r="P94" s="158"/>
      <c r="Q94" s="166"/>
      <c r="R94" s="168">
        <v>0</v>
      </c>
      <c r="S94" s="168">
        <v>0</v>
      </c>
      <c r="T94" s="168">
        <v>0</v>
      </c>
      <c r="V94" s="170"/>
    </row>
    <row r="95" ht="17.45" customHeight="1" spans="1:20">
      <c r="A95" s="179"/>
      <c r="B95" s="75"/>
      <c r="C95" s="109">
        <v>0</v>
      </c>
      <c r="D95" s="80">
        <v>2024</v>
      </c>
      <c r="E95" s="77">
        <f t="shared" si="7"/>
        <v>615005.3</v>
      </c>
      <c r="F95" s="86">
        <v>0</v>
      </c>
      <c r="G95" s="87">
        <f>424812.5-G106+307.2-211.6+34332.2+24960.4+4268.7+27725.2</f>
        <v>466293.4</v>
      </c>
      <c r="H95" s="87">
        <f>145710.4+3291.7+460-295.8-392.9-61.5</f>
        <v>148711.9</v>
      </c>
      <c r="I95" s="77">
        <v>0</v>
      </c>
      <c r="J95" s="77">
        <v>0</v>
      </c>
      <c r="K95" s="144"/>
      <c r="L95" s="155"/>
      <c r="M95" s="143"/>
      <c r="N95" s="156" t="s">
        <v>121</v>
      </c>
      <c r="O95" s="157"/>
      <c r="P95" s="158"/>
      <c r="Q95" s="166"/>
      <c r="R95" s="168">
        <v>13451200</v>
      </c>
      <c r="S95" s="168">
        <v>13451200</v>
      </c>
      <c r="T95" s="168">
        <v>13451200</v>
      </c>
    </row>
    <row r="96" ht="17.45" customHeight="1" spans="1:22">
      <c r="A96" s="179"/>
      <c r="B96" s="75"/>
      <c r="C96" s="109">
        <v>0</v>
      </c>
      <c r="D96" s="80">
        <v>2025</v>
      </c>
      <c r="E96" s="77">
        <f t="shared" si="7"/>
        <v>720570.3</v>
      </c>
      <c r="F96" s="86">
        <v>0</v>
      </c>
      <c r="G96" s="87">
        <f>568913.4-94619+15794.9+23778.9+1015.6-351.4+27037.6-322+9619.4</f>
        <v>550867.4</v>
      </c>
      <c r="H96" s="87">
        <f>163407.8+611.5+348.5+4392.5+458.3+53.5-96.6+115.9+411.5</f>
        <v>169702.9</v>
      </c>
      <c r="I96" s="77">
        <v>0</v>
      </c>
      <c r="J96" s="77">
        <v>0</v>
      </c>
      <c r="K96" s="144"/>
      <c r="L96" s="155"/>
      <c r="M96" s="143"/>
      <c r="N96" s="156" t="s">
        <v>122</v>
      </c>
      <c r="O96" s="157"/>
      <c r="P96" s="158"/>
      <c r="Q96" s="166"/>
      <c r="R96" s="168">
        <v>319700</v>
      </c>
      <c r="S96" s="168">
        <v>0</v>
      </c>
      <c r="T96" s="168">
        <v>0</v>
      </c>
      <c r="U96" s="33" t="s">
        <v>123</v>
      </c>
      <c r="V96" s="171">
        <v>319.7</v>
      </c>
    </row>
    <row r="97" ht="17.45" customHeight="1" spans="1:20">
      <c r="A97" s="179"/>
      <c r="B97" s="75"/>
      <c r="C97" s="109"/>
      <c r="D97" s="80">
        <v>2026</v>
      </c>
      <c r="E97" s="77">
        <f t="shared" ref="E97" si="10">F97+G97+H97+J97</f>
        <v>718477.1</v>
      </c>
      <c r="F97" s="86">
        <v>0</v>
      </c>
      <c r="G97" s="87">
        <v>528556.9</v>
      </c>
      <c r="H97" s="87">
        <v>189920.2</v>
      </c>
      <c r="I97" s="77">
        <v>0</v>
      </c>
      <c r="J97" s="77">
        <v>0</v>
      </c>
      <c r="K97" s="144"/>
      <c r="L97" s="155"/>
      <c r="M97" s="143"/>
      <c r="N97" s="156" t="s">
        <v>124</v>
      </c>
      <c r="O97" s="157"/>
      <c r="P97" s="158"/>
      <c r="Q97" s="166"/>
      <c r="R97" s="168">
        <v>128700</v>
      </c>
      <c r="S97" s="168">
        <v>143400</v>
      </c>
      <c r="T97" s="168">
        <v>164500</v>
      </c>
    </row>
    <row r="98" ht="17.45" customHeight="1" spans="1:20">
      <c r="A98" s="179"/>
      <c r="B98" s="75"/>
      <c r="C98" s="109"/>
      <c r="D98" s="80">
        <v>2027</v>
      </c>
      <c r="E98" s="77">
        <f t="shared" si="7"/>
        <v>788185.8</v>
      </c>
      <c r="F98" s="86">
        <v>0</v>
      </c>
      <c r="G98" s="87">
        <v>594380.4</v>
      </c>
      <c r="H98" s="87">
        <f>193805.4</f>
        <v>193805.4</v>
      </c>
      <c r="I98" s="77">
        <v>0</v>
      </c>
      <c r="J98" s="77">
        <v>0</v>
      </c>
      <c r="K98" s="144"/>
      <c r="L98" s="155"/>
      <c r="M98" s="143"/>
      <c r="N98" s="156" t="s">
        <v>125</v>
      </c>
      <c r="O98" s="157"/>
      <c r="P98" s="158"/>
      <c r="Q98" s="166"/>
      <c r="R98" s="168">
        <v>130000</v>
      </c>
      <c r="S98" s="168">
        <v>130000</v>
      </c>
      <c r="T98" s="168">
        <v>130000</v>
      </c>
    </row>
    <row r="99" ht="17.45" customHeight="1" spans="1:20">
      <c r="A99" s="179"/>
      <c r="B99" s="75"/>
      <c r="C99" s="109"/>
      <c r="D99" s="80">
        <v>2028</v>
      </c>
      <c r="E99" s="77">
        <f>F99+G99+H99+I99+J99</f>
        <v>834384</v>
      </c>
      <c r="F99" s="86">
        <v>0</v>
      </c>
      <c r="G99" s="87">
        <v>636584.5</v>
      </c>
      <c r="H99" s="87">
        <f>197799.5</f>
        <v>197799.5</v>
      </c>
      <c r="I99" s="77">
        <v>0</v>
      </c>
      <c r="J99" s="77">
        <v>0</v>
      </c>
      <c r="K99" s="145"/>
      <c r="L99" s="155"/>
      <c r="M99" s="143"/>
      <c r="N99" s="156"/>
      <c r="O99" s="157"/>
      <c r="P99" s="158"/>
      <c r="Q99" s="166"/>
      <c r="R99" s="168"/>
      <c r="S99" s="168"/>
      <c r="T99" s="168"/>
    </row>
    <row r="100" ht="17.45" customHeight="1" spans="1:20">
      <c r="A100" s="107" t="s">
        <v>94</v>
      </c>
      <c r="B100" s="75" t="s">
        <v>126</v>
      </c>
      <c r="C100" s="108">
        <v>0</v>
      </c>
      <c r="D100" s="76">
        <v>2018</v>
      </c>
      <c r="E100" s="77">
        <f t="shared" si="7"/>
        <v>0</v>
      </c>
      <c r="F100" s="77">
        <v>0</v>
      </c>
      <c r="G100" s="77">
        <v>0</v>
      </c>
      <c r="H100" s="77">
        <v>0</v>
      </c>
      <c r="I100" s="77">
        <v>0</v>
      </c>
      <c r="J100" s="77">
        <v>0</v>
      </c>
      <c r="K100" s="80"/>
      <c r="L100" s="155"/>
      <c r="M100" s="143"/>
      <c r="N100" s="156" t="s">
        <v>127</v>
      </c>
      <c r="O100" s="157"/>
      <c r="P100" s="158"/>
      <c r="Q100" s="166"/>
      <c r="R100" s="168">
        <v>5145500</v>
      </c>
      <c r="S100" s="168">
        <v>5455200</v>
      </c>
      <c r="T100" s="168">
        <v>5455200</v>
      </c>
    </row>
    <row r="101" ht="17.45" customHeight="1" spans="1:24">
      <c r="A101" s="107"/>
      <c r="B101" s="75"/>
      <c r="C101" s="108">
        <v>0</v>
      </c>
      <c r="D101" s="76">
        <v>2019</v>
      </c>
      <c r="E101" s="77">
        <f t="shared" si="7"/>
        <v>0</v>
      </c>
      <c r="F101" s="77">
        <v>0</v>
      </c>
      <c r="G101" s="77">
        <v>0</v>
      </c>
      <c r="H101" s="77">
        <v>0</v>
      </c>
      <c r="I101" s="77">
        <v>0</v>
      </c>
      <c r="J101" s="77">
        <v>0</v>
      </c>
      <c r="K101" s="80"/>
      <c r="L101" s="155"/>
      <c r="M101" s="143"/>
      <c r="N101" s="156" t="s">
        <v>128</v>
      </c>
      <c r="O101" s="157"/>
      <c r="P101" s="158"/>
      <c r="Q101" s="166"/>
      <c r="R101" s="168">
        <v>237700</v>
      </c>
      <c r="S101" s="168">
        <v>135500</v>
      </c>
      <c r="T101" s="168">
        <v>135500</v>
      </c>
      <c r="V101" s="171">
        <f>(R101+R103+R104+R105)/1000</f>
        <v>950.8</v>
      </c>
      <c r="W101" s="171"/>
      <c r="X101" s="171"/>
    </row>
    <row r="102" ht="17.45" customHeight="1" spans="1:22">
      <c r="A102" s="107"/>
      <c r="B102" s="75"/>
      <c r="C102" s="108">
        <v>0</v>
      </c>
      <c r="D102" s="80">
        <v>2020</v>
      </c>
      <c r="E102" s="77">
        <f t="shared" si="7"/>
        <v>0</v>
      </c>
      <c r="F102" s="86">
        <v>0</v>
      </c>
      <c r="G102" s="77">
        <v>0</v>
      </c>
      <c r="H102" s="77">
        <v>0</v>
      </c>
      <c r="I102" s="77">
        <v>0</v>
      </c>
      <c r="J102" s="77">
        <v>0</v>
      </c>
      <c r="K102" s="80"/>
      <c r="L102" s="155"/>
      <c r="M102" s="143"/>
      <c r="N102" s="156" t="s">
        <v>129</v>
      </c>
      <c r="O102" s="157"/>
      <c r="P102" s="158"/>
      <c r="Q102" s="166"/>
      <c r="R102" s="168">
        <v>1650700</v>
      </c>
      <c r="S102" s="168">
        <v>1650700</v>
      </c>
      <c r="T102" s="168">
        <v>1650700</v>
      </c>
      <c r="V102" s="170"/>
    </row>
    <row r="103" ht="17.45" customHeight="1" spans="1:20">
      <c r="A103" s="107"/>
      <c r="B103" s="75"/>
      <c r="C103" s="109">
        <v>0</v>
      </c>
      <c r="D103" s="80">
        <v>2021</v>
      </c>
      <c r="E103" s="77">
        <f t="shared" si="7"/>
        <v>0</v>
      </c>
      <c r="F103" s="86">
        <v>0</v>
      </c>
      <c r="G103" s="77">
        <v>0</v>
      </c>
      <c r="H103" s="77">
        <v>0</v>
      </c>
      <c r="I103" s="77">
        <v>0</v>
      </c>
      <c r="J103" s="77">
        <v>0</v>
      </c>
      <c r="K103" s="80"/>
      <c r="L103" s="155"/>
      <c r="M103" s="143"/>
      <c r="N103" s="156" t="s">
        <v>130</v>
      </c>
      <c r="O103" s="157"/>
      <c r="P103" s="158"/>
      <c r="Q103" s="166"/>
      <c r="R103" s="168">
        <v>237700</v>
      </c>
      <c r="S103" s="168">
        <v>135500</v>
      </c>
      <c r="T103" s="168">
        <v>135500</v>
      </c>
    </row>
    <row r="104" ht="17.45" customHeight="1" spans="1:20">
      <c r="A104" s="107"/>
      <c r="B104" s="75"/>
      <c r="C104" s="109">
        <v>0</v>
      </c>
      <c r="D104" s="80">
        <v>2022</v>
      </c>
      <c r="E104" s="77">
        <f t="shared" si="7"/>
        <v>0</v>
      </c>
      <c r="F104" s="86">
        <v>0</v>
      </c>
      <c r="G104" s="77">
        <v>0</v>
      </c>
      <c r="H104" s="77">
        <v>0</v>
      </c>
      <c r="I104" s="77">
        <v>0</v>
      </c>
      <c r="J104" s="77">
        <v>0</v>
      </c>
      <c r="K104" s="80"/>
      <c r="L104" s="155"/>
      <c r="M104" s="143"/>
      <c r="N104" s="156" t="s">
        <v>131</v>
      </c>
      <c r="O104" s="157"/>
      <c r="P104" s="158"/>
      <c r="Q104" s="166"/>
      <c r="R104" s="168">
        <v>237700</v>
      </c>
      <c r="S104" s="168">
        <v>135500</v>
      </c>
      <c r="T104" s="168">
        <v>135500</v>
      </c>
    </row>
    <row r="105" ht="17.45" customHeight="1" spans="1:20">
      <c r="A105" s="107"/>
      <c r="B105" s="75"/>
      <c r="C105" s="109">
        <v>0</v>
      </c>
      <c r="D105" s="80">
        <v>2023</v>
      </c>
      <c r="E105" s="77">
        <f t="shared" si="7"/>
        <v>48484.7</v>
      </c>
      <c r="F105" s="86">
        <v>0</v>
      </c>
      <c r="G105" s="77">
        <f>57277.6-8792.9</f>
        <v>48484.7</v>
      </c>
      <c r="H105" s="77">
        <v>0</v>
      </c>
      <c r="I105" s="77">
        <v>0</v>
      </c>
      <c r="J105" s="77">
        <v>0</v>
      </c>
      <c r="K105" s="80"/>
      <c r="L105" s="155"/>
      <c r="M105" s="143"/>
      <c r="N105" s="156" t="s">
        <v>132</v>
      </c>
      <c r="O105" s="157"/>
      <c r="P105" s="158"/>
      <c r="Q105" s="166"/>
      <c r="R105" s="168">
        <v>237700</v>
      </c>
      <c r="S105" s="168">
        <v>135400</v>
      </c>
      <c r="T105" s="168">
        <v>135400</v>
      </c>
    </row>
    <row r="106" ht="17.45" customHeight="1" spans="1:20">
      <c r="A106" s="107"/>
      <c r="B106" s="75"/>
      <c r="C106" s="109">
        <v>0</v>
      </c>
      <c r="D106" s="80">
        <v>2024</v>
      </c>
      <c r="E106" s="77">
        <f t="shared" si="7"/>
        <v>49901.2</v>
      </c>
      <c r="F106" s="86">
        <v>0</v>
      </c>
      <c r="G106" s="77">
        <f>57277.6-7376.4</f>
        <v>49901.2</v>
      </c>
      <c r="H106" s="77">
        <v>0</v>
      </c>
      <c r="I106" s="77">
        <v>0</v>
      </c>
      <c r="J106" s="77">
        <v>0</v>
      </c>
      <c r="K106" s="80"/>
      <c r="L106" s="155"/>
      <c r="M106" s="143"/>
      <c r="N106" s="156" t="s">
        <v>133</v>
      </c>
      <c r="O106" s="157"/>
      <c r="P106" s="158"/>
      <c r="Q106" s="166"/>
      <c r="R106" s="168">
        <v>154900</v>
      </c>
      <c r="S106" s="168">
        <v>200000</v>
      </c>
      <c r="T106" s="168">
        <v>200000</v>
      </c>
    </row>
    <row r="107" ht="17.45" customHeight="1" spans="1:22">
      <c r="A107" s="107"/>
      <c r="B107" s="75"/>
      <c r="C107" s="109">
        <v>0</v>
      </c>
      <c r="D107" s="80">
        <v>2025</v>
      </c>
      <c r="E107" s="77">
        <f t="shared" si="7"/>
        <v>83984</v>
      </c>
      <c r="F107" s="86">
        <v>0</v>
      </c>
      <c r="G107" s="77">
        <f>94619-1015.6-9619.4</f>
        <v>83984</v>
      </c>
      <c r="H107" s="77">
        <v>0</v>
      </c>
      <c r="I107" s="77">
        <v>0</v>
      </c>
      <c r="J107" s="77">
        <v>0</v>
      </c>
      <c r="K107" s="80"/>
      <c r="L107" s="155"/>
      <c r="M107" s="143"/>
      <c r="N107" s="156" t="s">
        <v>134</v>
      </c>
      <c r="O107" s="157"/>
      <c r="P107" s="158"/>
      <c r="Q107" s="166"/>
      <c r="R107" s="168">
        <v>45100</v>
      </c>
      <c r="S107" s="168">
        <v>0</v>
      </c>
      <c r="T107" s="168">
        <v>0</v>
      </c>
      <c r="U107" s="33" t="s">
        <v>135</v>
      </c>
      <c r="V107" s="33">
        <f>200</f>
        <v>200</v>
      </c>
    </row>
    <row r="108" ht="17.45" customHeight="1" spans="1:22">
      <c r="A108" s="107"/>
      <c r="B108" s="75"/>
      <c r="C108" s="109"/>
      <c r="D108" s="80">
        <v>2026</v>
      </c>
      <c r="E108" s="77">
        <f t="shared" ref="E108" si="11">F108+G108+H108+J108</f>
        <v>131257.2</v>
      </c>
      <c r="F108" s="86">
        <v>0</v>
      </c>
      <c r="G108" s="77">
        <v>131257.2</v>
      </c>
      <c r="H108" s="77">
        <v>0</v>
      </c>
      <c r="I108" s="77">
        <v>0</v>
      </c>
      <c r="J108" s="77">
        <v>0</v>
      </c>
      <c r="K108" s="80"/>
      <c r="L108" s="155"/>
      <c r="M108" s="143"/>
      <c r="N108" s="156" t="s">
        <v>136</v>
      </c>
      <c r="O108" s="157"/>
      <c r="P108" s="158"/>
      <c r="Q108" s="166"/>
      <c r="R108" s="168">
        <v>200000</v>
      </c>
      <c r="S108" s="168">
        <v>200000</v>
      </c>
      <c r="T108" s="168">
        <v>200000</v>
      </c>
      <c r="U108" s="33" t="s">
        <v>137</v>
      </c>
      <c r="V108" s="171">
        <v>200</v>
      </c>
    </row>
    <row r="109" ht="17.45" customHeight="1" spans="1:24">
      <c r="A109" s="107"/>
      <c r="B109" s="75"/>
      <c r="C109" s="109"/>
      <c r="D109" s="80">
        <v>2027</v>
      </c>
      <c r="E109" s="77">
        <f t="shared" si="7"/>
        <v>131257.2</v>
      </c>
      <c r="F109" s="86">
        <v>0</v>
      </c>
      <c r="G109" s="77">
        <v>131257.2</v>
      </c>
      <c r="H109" s="77">
        <v>0</v>
      </c>
      <c r="I109" s="77">
        <v>0</v>
      </c>
      <c r="J109" s="77">
        <v>0</v>
      </c>
      <c r="K109" s="80"/>
      <c r="L109" s="155"/>
      <c r="M109" s="143"/>
      <c r="N109" s="156" t="s">
        <v>138</v>
      </c>
      <c r="O109" s="157"/>
      <c r="P109" s="158"/>
      <c r="Q109" s="166"/>
      <c r="R109" s="168">
        <v>10504900</v>
      </c>
      <c r="S109" s="168">
        <v>10504900</v>
      </c>
      <c r="T109" s="168">
        <v>10504900</v>
      </c>
      <c r="V109" s="171">
        <v>18078.2</v>
      </c>
      <c r="W109" s="171">
        <v>14638.4</v>
      </c>
      <c r="X109" s="171">
        <v>14638.4</v>
      </c>
    </row>
    <row r="110" ht="17.45" customHeight="1" spans="1:24">
      <c r="A110" s="107"/>
      <c r="B110" s="75"/>
      <c r="C110" s="109"/>
      <c r="D110" s="80">
        <v>2028</v>
      </c>
      <c r="E110" s="77">
        <f>F110+G110+H110+I110+J110</f>
        <v>131257.2</v>
      </c>
      <c r="F110" s="86">
        <v>0</v>
      </c>
      <c r="G110" s="77">
        <v>131257.2</v>
      </c>
      <c r="H110" s="77">
        <v>0</v>
      </c>
      <c r="I110" s="77">
        <v>0</v>
      </c>
      <c r="J110" s="77">
        <v>0</v>
      </c>
      <c r="K110" s="80"/>
      <c r="L110" s="155"/>
      <c r="M110" s="143"/>
      <c r="N110" s="156"/>
      <c r="O110" s="157"/>
      <c r="P110" s="158"/>
      <c r="Q110" s="166"/>
      <c r="R110" s="168"/>
      <c r="S110" s="168"/>
      <c r="T110" s="168"/>
      <c r="V110" s="201"/>
      <c r="W110" s="201"/>
      <c r="X110" s="201"/>
    </row>
    <row r="111" ht="17.45" customHeight="1" spans="1:20">
      <c r="A111" s="107"/>
      <c r="B111" s="75" t="s">
        <v>139</v>
      </c>
      <c r="C111" s="108">
        <v>0</v>
      </c>
      <c r="D111" s="76">
        <v>2018</v>
      </c>
      <c r="E111" s="77">
        <f t="shared" si="7"/>
        <v>2000</v>
      </c>
      <c r="F111" s="77">
        <v>0</v>
      </c>
      <c r="G111" s="77">
        <v>0</v>
      </c>
      <c r="H111" s="77">
        <v>2000</v>
      </c>
      <c r="I111" s="77">
        <v>0</v>
      </c>
      <c r="J111" s="77">
        <v>0</v>
      </c>
      <c r="K111" s="80"/>
      <c r="L111" s="155"/>
      <c r="M111" s="143"/>
      <c r="N111" s="156" t="s">
        <v>140</v>
      </c>
      <c r="O111" s="157"/>
      <c r="P111" s="158"/>
      <c r="Q111" s="166"/>
      <c r="R111" s="168">
        <v>3172500</v>
      </c>
      <c r="S111" s="168">
        <v>3172500</v>
      </c>
      <c r="T111" s="168">
        <v>3172500</v>
      </c>
    </row>
    <row r="112" ht="17.45" customHeight="1" spans="1:20">
      <c r="A112" s="107"/>
      <c r="B112" s="75"/>
      <c r="C112" s="108">
        <v>0</v>
      </c>
      <c r="D112" s="76">
        <v>2019</v>
      </c>
      <c r="E112" s="77">
        <f t="shared" si="7"/>
        <v>0</v>
      </c>
      <c r="F112" s="77">
        <v>0</v>
      </c>
      <c r="G112" s="77">
        <v>0</v>
      </c>
      <c r="H112" s="77">
        <v>0</v>
      </c>
      <c r="I112" s="77">
        <v>0</v>
      </c>
      <c r="J112" s="77">
        <v>0</v>
      </c>
      <c r="K112" s="80"/>
      <c r="L112" s="155"/>
      <c r="M112" s="143"/>
      <c r="N112" s="156" t="s">
        <v>141</v>
      </c>
      <c r="O112" s="157"/>
      <c r="P112" s="158"/>
      <c r="Q112" s="166"/>
      <c r="R112" s="168">
        <v>4400800</v>
      </c>
      <c r="S112" s="168">
        <v>961000</v>
      </c>
      <c r="T112" s="168">
        <v>961000</v>
      </c>
    </row>
    <row r="113" ht="17.45" customHeight="1" spans="1:24">
      <c r="A113" s="107"/>
      <c r="B113" s="75"/>
      <c r="C113" s="108">
        <v>0</v>
      </c>
      <c r="D113" s="80">
        <v>2020</v>
      </c>
      <c r="E113" s="77">
        <f t="shared" si="7"/>
        <v>298</v>
      </c>
      <c r="F113" s="86">
        <v>0</v>
      </c>
      <c r="G113" s="77">
        <v>0</v>
      </c>
      <c r="H113" s="77">
        <v>298</v>
      </c>
      <c r="I113" s="77">
        <v>0</v>
      </c>
      <c r="J113" s="77">
        <v>0</v>
      </c>
      <c r="K113" s="80"/>
      <c r="L113" s="155"/>
      <c r="M113" s="143"/>
      <c r="N113" s="156" t="s">
        <v>142</v>
      </c>
      <c r="O113" s="157"/>
      <c r="P113" s="158"/>
      <c r="Q113" s="166"/>
      <c r="R113" s="168">
        <v>43248200</v>
      </c>
      <c r="S113" s="168">
        <v>43248200</v>
      </c>
      <c r="T113" s="168">
        <v>43248200</v>
      </c>
      <c r="V113" s="171">
        <v>63688.6</v>
      </c>
      <c r="W113" s="171">
        <v>62792.6</v>
      </c>
      <c r="X113" s="171">
        <v>62792.6</v>
      </c>
    </row>
    <row r="114" ht="17.45" customHeight="1" spans="1:20">
      <c r="A114" s="107"/>
      <c r="B114" s="75"/>
      <c r="C114" s="109">
        <v>0</v>
      </c>
      <c r="D114" s="80">
        <v>2021</v>
      </c>
      <c r="E114" s="77">
        <f t="shared" si="7"/>
        <v>314.1</v>
      </c>
      <c r="F114" s="86">
        <v>0</v>
      </c>
      <c r="G114" s="77">
        <v>0</v>
      </c>
      <c r="H114" s="77">
        <v>314.1</v>
      </c>
      <c r="I114" s="77">
        <v>0</v>
      </c>
      <c r="J114" s="77">
        <v>0</v>
      </c>
      <c r="K114" s="80"/>
      <c r="L114" s="155"/>
      <c r="M114" s="143"/>
      <c r="N114" s="156" t="s">
        <v>143</v>
      </c>
      <c r="O114" s="157"/>
      <c r="P114" s="158"/>
      <c r="Q114" s="166"/>
      <c r="R114" s="168">
        <v>13060900</v>
      </c>
      <c r="S114" s="168">
        <v>13060900</v>
      </c>
      <c r="T114" s="168">
        <v>13060900</v>
      </c>
    </row>
    <row r="115" ht="17.45" customHeight="1" spans="1:20">
      <c r="A115" s="107"/>
      <c r="B115" s="75"/>
      <c r="C115" s="109">
        <v>0</v>
      </c>
      <c r="D115" s="80">
        <v>2022</v>
      </c>
      <c r="E115" s="77">
        <f t="shared" si="7"/>
        <v>1500</v>
      </c>
      <c r="F115" s="86">
        <v>0</v>
      </c>
      <c r="G115" s="77">
        <v>0</v>
      </c>
      <c r="H115" s="77">
        <v>1500</v>
      </c>
      <c r="I115" s="77">
        <v>0</v>
      </c>
      <c r="J115" s="77">
        <v>0</v>
      </c>
      <c r="K115" s="80"/>
      <c r="L115" s="155"/>
      <c r="M115" s="143"/>
      <c r="N115" s="156" t="s">
        <v>144</v>
      </c>
      <c r="O115" s="157"/>
      <c r="P115" s="158"/>
      <c r="Q115" s="166"/>
      <c r="R115" s="168">
        <v>6665700</v>
      </c>
      <c r="S115" s="168">
        <v>5769700</v>
      </c>
      <c r="T115" s="168">
        <v>5769700</v>
      </c>
    </row>
    <row r="116" ht="17.45" customHeight="1" spans="1:20">
      <c r="A116" s="107"/>
      <c r="B116" s="75"/>
      <c r="C116" s="109">
        <v>0</v>
      </c>
      <c r="D116" s="80">
        <v>2023</v>
      </c>
      <c r="E116" s="77">
        <f t="shared" si="7"/>
        <v>113.6</v>
      </c>
      <c r="F116" s="86">
        <v>0</v>
      </c>
      <c r="G116" s="77">
        <v>0</v>
      </c>
      <c r="H116" s="77">
        <v>113.6</v>
      </c>
      <c r="I116" s="77">
        <v>0</v>
      </c>
      <c r="J116" s="77">
        <v>0</v>
      </c>
      <c r="K116" s="80"/>
      <c r="L116" s="155"/>
      <c r="M116" s="143"/>
      <c r="N116" s="156" t="s">
        <v>145</v>
      </c>
      <c r="O116" s="157"/>
      <c r="P116" s="158"/>
      <c r="Q116" s="166"/>
      <c r="R116" s="168">
        <v>710400</v>
      </c>
      <c r="S116" s="168">
        <v>710400</v>
      </c>
      <c r="T116" s="168">
        <v>710400</v>
      </c>
    </row>
    <row r="117" ht="17.45" customHeight="1" spans="1:20">
      <c r="A117" s="107"/>
      <c r="B117" s="75"/>
      <c r="C117" s="109">
        <v>0</v>
      </c>
      <c r="D117" s="80">
        <v>2024</v>
      </c>
      <c r="E117" s="77">
        <f t="shared" si="7"/>
        <v>602.1</v>
      </c>
      <c r="F117" s="86">
        <v>0</v>
      </c>
      <c r="G117" s="77">
        <v>0</v>
      </c>
      <c r="H117" s="87">
        <f>80+45+314+163.1</f>
        <v>602.1</v>
      </c>
      <c r="I117" s="77">
        <v>0</v>
      </c>
      <c r="J117" s="77">
        <v>0</v>
      </c>
      <c r="K117" s="80"/>
      <c r="L117" s="155"/>
      <c r="M117" s="143"/>
      <c r="N117" s="156" t="s">
        <v>146</v>
      </c>
      <c r="O117" s="157"/>
      <c r="P117" s="158"/>
      <c r="Q117" s="166"/>
      <c r="R117" s="168">
        <v>3300</v>
      </c>
      <c r="S117" s="168">
        <v>3300</v>
      </c>
      <c r="T117" s="168">
        <v>3300</v>
      </c>
    </row>
    <row r="118" ht="17.45" customHeight="1" spans="1:20">
      <c r="A118" s="107"/>
      <c r="B118" s="75"/>
      <c r="C118" s="109">
        <v>0</v>
      </c>
      <c r="D118" s="80">
        <v>2025</v>
      </c>
      <c r="E118" s="77">
        <f t="shared" si="7"/>
        <v>11317.6</v>
      </c>
      <c r="F118" s="86">
        <v>0</v>
      </c>
      <c r="G118" s="77">
        <v>0</v>
      </c>
      <c r="H118" s="87">
        <f>10967.4+89+159.6+101.6</f>
        <v>11317.6</v>
      </c>
      <c r="I118" s="77">
        <v>0</v>
      </c>
      <c r="J118" s="77">
        <v>0</v>
      </c>
      <c r="K118" s="80"/>
      <c r="L118" s="155"/>
      <c r="M118" s="143"/>
      <c r="N118" s="156" t="s">
        <v>147</v>
      </c>
      <c r="O118" s="157"/>
      <c r="P118" s="158"/>
      <c r="Q118" s="166"/>
      <c r="R118" s="168">
        <v>100</v>
      </c>
      <c r="S118" s="168">
        <v>100</v>
      </c>
      <c r="T118" s="168">
        <v>100</v>
      </c>
    </row>
    <row r="119" ht="17.45" customHeight="1" spans="1:24">
      <c r="A119" s="107"/>
      <c r="B119" s="75"/>
      <c r="C119" s="109"/>
      <c r="D119" s="80">
        <v>2026</v>
      </c>
      <c r="E119" s="77">
        <f t="shared" si="7"/>
        <v>5166.6</v>
      </c>
      <c r="F119" s="86">
        <v>0</v>
      </c>
      <c r="G119" s="77">
        <v>0</v>
      </c>
      <c r="H119" s="87">
        <f>5166.6</f>
        <v>5166.6</v>
      </c>
      <c r="I119" s="86">
        <v>0</v>
      </c>
      <c r="J119" s="77">
        <v>0</v>
      </c>
      <c r="K119" s="80"/>
      <c r="L119" s="155"/>
      <c r="M119" s="143"/>
      <c r="N119" s="156" t="s">
        <v>148</v>
      </c>
      <c r="O119" s="157"/>
      <c r="P119" s="158"/>
      <c r="Q119" s="166"/>
      <c r="R119" s="168">
        <v>17656100</v>
      </c>
      <c r="S119" s="168">
        <v>19092600</v>
      </c>
      <c r="T119" s="168">
        <v>19884800</v>
      </c>
      <c r="V119" s="33">
        <f>23739.5+1305</f>
        <v>25044.5</v>
      </c>
      <c r="W119" s="33">
        <f>1367.7+25666</f>
        <v>27033.7</v>
      </c>
      <c r="X119" s="33">
        <f>1367.7+27406.3</f>
        <v>28774</v>
      </c>
    </row>
    <row r="120" ht="17.45" customHeight="1" spans="1:20">
      <c r="A120" s="107"/>
      <c r="B120" s="75"/>
      <c r="C120" s="109"/>
      <c r="D120" s="80">
        <v>2027</v>
      </c>
      <c r="E120" s="77">
        <f t="shared" si="7"/>
        <v>5166.6</v>
      </c>
      <c r="F120" s="86">
        <v>0</v>
      </c>
      <c r="G120" s="77">
        <v>0</v>
      </c>
      <c r="H120" s="87">
        <v>5166.6</v>
      </c>
      <c r="I120" s="77">
        <v>0</v>
      </c>
      <c r="J120" s="77">
        <v>0</v>
      </c>
      <c r="K120" s="80"/>
      <c r="L120" s="155"/>
      <c r="M120" s="143"/>
      <c r="N120" s="156" t="s">
        <v>149</v>
      </c>
      <c r="O120" s="157"/>
      <c r="P120" s="158"/>
      <c r="Q120" s="166"/>
      <c r="R120" s="168">
        <v>5332100</v>
      </c>
      <c r="S120" s="168">
        <v>5766000</v>
      </c>
      <c r="T120" s="168">
        <v>6005300</v>
      </c>
    </row>
    <row r="121" s="23" customFormat="1" ht="17.45" customHeight="1" spans="1:20">
      <c r="A121" s="107"/>
      <c r="B121" s="75"/>
      <c r="C121" s="109"/>
      <c r="D121" s="80">
        <v>2028</v>
      </c>
      <c r="E121" s="77">
        <f>F121+G121+H121+I121+J121</f>
        <v>8707.3</v>
      </c>
      <c r="F121" s="86">
        <v>0</v>
      </c>
      <c r="G121" s="77">
        <v>0</v>
      </c>
      <c r="H121" s="87">
        <v>8707.3</v>
      </c>
      <c r="I121" s="77">
        <v>0</v>
      </c>
      <c r="J121" s="77">
        <v>0</v>
      </c>
      <c r="K121" s="80"/>
      <c r="L121" s="155"/>
      <c r="M121" s="194"/>
      <c r="N121" s="185"/>
      <c r="O121" s="186"/>
      <c r="P121" s="187"/>
      <c r="Q121" s="195"/>
      <c r="R121" s="196"/>
      <c r="S121" s="196"/>
      <c r="T121" s="196"/>
    </row>
    <row r="122" ht="17.45" customHeight="1" spans="1:20">
      <c r="A122" s="107"/>
      <c r="B122" s="75" t="s">
        <v>150</v>
      </c>
      <c r="C122" s="180">
        <v>0</v>
      </c>
      <c r="D122" s="181">
        <v>2018</v>
      </c>
      <c r="E122" s="88">
        <f t="shared" si="7"/>
        <v>6675.9</v>
      </c>
      <c r="F122" s="88">
        <v>0</v>
      </c>
      <c r="G122" s="88">
        <v>0</v>
      </c>
      <c r="H122" s="88">
        <v>6675.9</v>
      </c>
      <c r="I122" s="88">
        <v>0</v>
      </c>
      <c r="J122" s="88">
        <v>0</v>
      </c>
      <c r="K122" s="80"/>
      <c r="L122" s="155"/>
      <c r="M122" s="143"/>
      <c r="N122" s="188" t="s">
        <v>151</v>
      </c>
      <c r="O122" s="189"/>
      <c r="P122" s="190"/>
      <c r="Q122" s="198"/>
      <c r="R122" s="199">
        <v>881600</v>
      </c>
      <c r="S122" s="199">
        <v>929700</v>
      </c>
      <c r="T122" s="199">
        <v>929700</v>
      </c>
    </row>
    <row r="123" ht="17.45" customHeight="1" spans="1:20">
      <c r="A123" s="107"/>
      <c r="B123" s="75"/>
      <c r="C123" s="108">
        <v>0</v>
      </c>
      <c r="D123" s="76">
        <v>2019</v>
      </c>
      <c r="E123" s="77">
        <f t="shared" si="7"/>
        <v>6879.7</v>
      </c>
      <c r="F123" s="77">
        <v>0</v>
      </c>
      <c r="G123" s="77">
        <v>0</v>
      </c>
      <c r="H123" s="77">
        <v>6879.7</v>
      </c>
      <c r="I123" s="77">
        <v>0</v>
      </c>
      <c r="J123" s="77">
        <v>0</v>
      </c>
      <c r="K123" s="80"/>
      <c r="L123" s="155"/>
      <c r="M123" s="143"/>
      <c r="N123" s="156" t="s">
        <v>152</v>
      </c>
      <c r="O123" s="157"/>
      <c r="P123" s="158"/>
      <c r="Q123" s="166"/>
      <c r="R123" s="168">
        <v>266200</v>
      </c>
      <c r="S123" s="168">
        <v>280900</v>
      </c>
      <c r="T123" s="168">
        <v>280800</v>
      </c>
    </row>
    <row r="124" ht="17.45" customHeight="1" spans="1:20">
      <c r="A124" s="107"/>
      <c r="B124" s="75"/>
      <c r="C124" s="108">
        <v>0</v>
      </c>
      <c r="D124" s="80">
        <v>2020</v>
      </c>
      <c r="E124" s="77">
        <f t="shared" si="7"/>
        <v>4857.7</v>
      </c>
      <c r="F124" s="86">
        <v>0</v>
      </c>
      <c r="G124" s="77">
        <v>0</v>
      </c>
      <c r="H124" s="77">
        <v>4857.7</v>
      </c>
      <c r="I124" s="77">
        <v>0</v>
      </c>
      <c r="J124" s="77">
        <v>0</v>
      </c>
      <c r="K124" s="80"/>
      <c r="L124" s="155"/>
      <c r="M124" s="143"/>
      <c r="N124" s="156" t="s">
        <v>153</v>
      </c>
      <c r="O124" s="157"/>
      <c r="P124" s="158"/>
      <c r="Q124" s="166"/>
      <c r="R124" s="168">
        <v>908500</v>
      </c>
      <c r="S124" s="168">
        <v>964500</v>
      </c>
      <c r="T124" s="168">
        <v>1673400</v>
      </c>
    </row>
    <row r="125" ht="17.45" customHeight="1" spans="1:22">
      <c r="A125" s="107"/>
      <c r="B125" s="75"/>
      <c r="C125" s="109">
        <v>0</v>
      </c>
      <c r="D125" s="80">
        <v>2021</v>
      </c>
      <c r="E125" s="77">
        <f t="shared" si="7"/>
        <v>0</v>
      </c>
      <c r="F125" s="86">
        <v>0</v>
      </c>
      <c r="G125" s="77">
        <v>0</v>
      </c>
      <c r="H125" s="77">
        <v>0</v>
      </c>
      <c r="I125" s="77">
        <v>0</v>
      </c>
      <c r="J125" s="77">
        <v>0</v>
      </c>
      <c r="K125" s="80"/>
      <c r="L125" s="155"/>
      <c r="M125" s="143"/>
      <c r="N125" s="156" t="s">
        <v>154</v>
      </c>
      <c r="O125" s="157"/>
      <c r="P125" s="158"/>
      <c r="Q125" s="166"/>
      <c r="R125" s="168">
        <v>117584100</v>
      </c>
      <c r="S125" s="168">
        <v>117576900</v>
      </c>
      <c r="T125" s="168">
        <v>117576900</v>
      </c>
      <c r="U125" s="33" t="s">
        <v>155</v>
      </c>
      <c r="V125" s="33">
        <f>400+596.6+105494.2+17402.4+1000</f>
        <v>124893.2</v>
      </c>
    </row>
    <row r="126" ht="17.45" customHeight="1" spans="1:20">
      <c r="A126" s="107"/>
      <c r="B126" s="75"/>
      <c r="C126" s="109">
        <v>0</v>
      </c>
      <c r="D126" s="80">
        <v>2022</v>
      </c>
      <c r="E126" s="77">
        <f t="shared" si="7"/>
        <v>0</v>
      </c>
      <c r="F126" s="86">
        <v>0</v>
      </c>
      <c r="G126" s="77">
        <v>0</v>
      </c>
      <c r="H126" s="77">
        <v>0</v>
      </c>
      <c r="I126" s="77">
        <v>0</v>
      </c>
      <c r="J126" s="77">
        <v>0</v>
      </c>
      <c r="K126" s="80"/>
      <c r="L126" s="155"/>
      <c r="M126" s="143"/>
      <c r="N126" s="156" t="s">
        <v>156</v>
      </c>
      <c r="O126" s="157"/>
      <c r="P126" s="158"/>
      <c r="Q126" s="166"/>
      <c r="R126" s="168">
        <v>7309100</v>
      </c>
      <c r="S126" s="168">
        <v>7316300</v>
      </c>
      <c r="T126" s="168">
        <v>7316300</v>
      </c>
    </row>
    <row r="127" ht="17.45" customHeight="1" spans="1:24">
      <c r="A127" s="107"/>
      <c r="B127" s="75"/>
      <c r="C127" s="109">
        <v>0</v>
      </c>
      <c r="D127" s="80">
        <v>2023</v>
      </c>
      <c r="E127" s="77">
        <f t="shared" si="7"/>
        <v>0</v>
      </c>
      <c r="F127" s="86">
        <v>0</v>
      </c>
      <c r="G127" s="77">
        <v>0</v>
      </c>
      <c r="H127" s="77">
        <v>0</v>
      </c>
      <c r="I127" s="77">
        <v>0</v>
      </c>
      <c r="J127" s="77">
        <v>0</v>
      </c>
      <c r="K127" s="80"/>
      <c r="L127" s="155"/>
      <c r="M127" s="143"/>
      <c r="N127" s="156" t="s">
        <v>157</v>
      </c>
      <c r="O127" s="157"/>
      <c r="P127" s="158"/>
      <c r="Q127" s="166"/>
      <c r="R127" s="168">
        <v>2031200</v>
      </c>
      <c r="S127" s="168">
        <v>2031200</v>
      </c>
      <c r="T127" s="168">
        <v>2031200</v>
      </c>
      <c r="U127" s="33" t="s">
        <v>158</v>
      </c>
      <c r="V127" s="171">
        <v>2187.4</v>
      </c>
      <c r="W127" s="171">
        <v>2187.4</v>
      </c>
      <c r="X127" s="171">
        <v>2187.4</v>
      </c>
    </row>
    <row r="128" ht="17.45" customHeight="1" spans="1:20">
      <c r="A128" s="107"/>
      <c r="B128" s="75"/>
      <c r="C128" s="109">
        <v>0</v>
      </c>
      <c r="D128" s="80">
        <v>2024</v>
      </c>
      <c r="E128" s="77">
        <f t="shared" si="7"/>
        <v>0</v>
      </c>
      <c r="F128" s="86">
        <v>0</v>
      </c>
      <c r="G128" s="77">
        <v>0</v>
      </c>
      <c r="H128" s="77">
        <v>0</v>
      </c>
      <c r="I128" s="77">
        <v>0</v>
      </c>
      <c r="J128" s="77">
        <v>0</v>
      </c>
      <c r="K128" s="80"/>
      <c r="L128" s="155"/>
      <c r="M128" s="143"/>
      <c r="N128" s="156" t="s">
        <v>159</v>
      </c>
      <c r="O128" s="157"/>
      <c r="P128" s="158"/>
      <c r="Q128" s="166"/>
      <c r="R128" s="168">
        <v>156200</v>
      </c>
      <c r="S128" s="168">
        <v>156200</v>
      </c>
      <c r="T128" s="168">
        <v>156200</v>
      </c>
    </row>
    <row r="129" ht="17.45" customHeight="1" spans="1:24">
      <c r="A129" s="107"/>
      <c r="B129" s="75"/>
      <c r="C129" s="109">
        <v>0</v>
      </c>
      <c r="D129" s="80">
        <v>2025</v>
      </c>
      <c r="E129" s="77">
        <f t="shared" si="7"/>
        <v>0</v>
      </c>
      <c r="F129" s="86">
        <v>0</v>
      </c>
      <c r="G129" s="77">
        <v>0</v>
      </c>
      <c r="H129" s="77">
        <v>0</v>
      </c>
      <c r="I129" s="77">
        <v>0</v>
      </c>
      <c r="J129" s="77">
        <v>0</v>
      </c>
      <c r="K129" s="80"/>
      <c r="L129" s="155"/>
      <c r="M129" s="143"/>
      <c r="N129" s="156" t="s">
        <v>160</v>
      </c>
      <c r="O129" s="157"/>
      <c r="P129" s="158"/>
      <c r="Q129" s="166"/>
      <c r="R129" s="168">
        <v>612000</v>
      </c>
      <c r="S129" s="168">
        <v>612000</v>
      </c>
      <c r="T129" s="168">
        <v>612000</v>
      </c>
      <c r="U129" s="33" t="s">
        <v>161</v>
      </c>
      <c r="V129" s="171">
        <v>612</v>
      </c>
      <c r="W129" s="171">
        <v>612</v>
      </c>
      <c r="X129" s="171">
        <v>612</v>
      </c>
    </row>
    <row r="130" s="24" customFormat="1" ht="17.45" customHeight="1" spans="1:24">
      <c r="A130" s="107"/>
      <c r="B130" s="75"/>
      <c r="C130" s="109"/>
      <c r="D130" s="80">
        <v>2026</v>
      </c>
      <c r="E130" s="77">
        <f t="shared" si="7"/>
        <v>0</v>
      </c>
      <c r="F130" s="86">
        <v>0</v>
      </c>
      <c r="G130" s="77">
        <v>0</v>
      </c>
      <c r="H130" s="77">
        <v>0</v>
      </c>
      <c r="I130" s="77">
        <v>0</v>
      </c>
      <c r="J130" s="77">
        <v>0</v>
      </c>
      <c r="K130" s="80"/>
      <c r="L130" s="155"/>
      <c r="M130" s="143"/>
      <c r="N130" s="156" t="s">
        <v>162</v>
      </c>
      <c r="O130" s="157"/>
      <c r="P130" s="158"/>
      <c r="Q130" s="166"/>
      <c r="R130" s="168">
        <v>205900</v>
      </c>
      <c r="S130" s="168">
        <v>205900</v>
      </c>
      <c r="T130" s="168">
        <v>205900</v>
      </c>
      <c r="U130" s="24" t="s">
        <v>163</v>
      </c>
      <c r="V130" s="24">
        <v>13935.4</v>
      </c>
      <c r="W130" s="24">
        <v>13935.4</v>
      </c>
      <c r="X130" s="24">
        <v>13935.4</v>
      </c>
    </row>
    <row r="131" ht="17.45" customHeight="1" spans="1:20">
      <c r="A131" s="107"/>
      <c r="B131" s="75" t="s">
        <v>164</v>
      </c>
      <c r="C131" s="108">
        <v>0</v>
      </c>
      <c r="D131" s="76">
        <v>2018</v>
      </c>
      <c r="E131" s="77">
        <f t="shared" si="7"/>
        <v>0</v>
      </c>
      <c r="F131" s="77">
        <v>0</v>
      </c>
      <c r="G131" s="77">
        <v>0</v>
      </c>
      <c r="H131" s="77">
        <v>0</v>
      </c>
      <c r="I131" s="77">
        <v>0</v>
      </c>
      <c r="J131" s="77">
        <v>0</v>
      </c>
      <c r="K131" s="80"/>
      <c r="L131" s="155"/>
      <c r="M131" s="143"/>
      <c r="N131" s="156" t="s">
        <v>165</v>
      </c>
      <c r="O131" s="157"/>
      <c r="P131" s="158"/>
      <c r="Q131" s="166"/>
      <c r="R131" s="168">
        <v>13729500</v>
      </c>
      <c r="S131" s="168">
        <v>13729500</v>
      </c>
      <c r="T131" s="168">
        <v>13729500</v>
      </c>
    </row>
    <row r="132" ht="17.45" customHeight="1" spans="1:20">
      <c r="A132" s="107"/>
      <c r="B132" s="75"/>
      <c r="C132" s="108">
        <v>0</v>
      </c>
      <c r="D132" s="76">
        <v>2019</v>
      </c>
      <c r="E132" s="77">
        <f t="shared" si="7"/>
        <v>66.1</v>
      </c>
      <c r="F132" s="77">
        <v>0</v>
      </c>
      <c r="G132" s="77">
        <v>0</v>
      </c>
      <c r="H132" s="77">
        <v>66.1</v>
      </c>
      <c r="I132" s="77">
        <v>0</v>
      </c>
      <c r="J132" s="77">
        <v>0</v>
      </c>
      <c r="K132" s="80"/>
      <c r="L132" s="155"/>
      <c r="M132" s="143"/>
      <c r="N132" s="156" t="s">
        <v>166</v>
      </c>
      <c r="O132" s="157"/>
      <c r="P132" s="158"/>
      <c r="Q132" s="166"/>
      <c r="R132" s="168">
        <v>2774000</v>
      </c>
      <c r="S132" s="168">
        <v>3030600</v>
      </c>
      <c r="T132" s="168">
        <v>3030600</v>
      </c>
    </row>
    <row r="133" ht="17.45" customHeight="1" spans="1:20">
      <c r="A133" s="107"/>
      <c r="B133" s="75"/>
      <c r="C133" s="108">
        <v>0</v>
      </c>
      <c r="D133" s="80">
        <v>2020</v>
      </c>
      <c r="E133" s="77">
        <f t="shared" si="7"/>
        <v>0</v>
      </c>
      <c r="F133" s="86">
        <v>0</v>
      </c>
      <c r="G133" s="77">
        <v>0</v>
      </c>
      <c r="H133" s="77">
        <v>0</v>
      </c>
      <c r="I133" s="77">
        <v>0</v>
      </c>
      <c r="J133" s="77">
        <v>0</v>
      </c>
      <c r="K133" s="80"/>
      <c r="L133" s="155"/>
      <c r="M133" s="143"/>
      <c r="N133" s="156" t="s">
        <v>167</v>
      </c>
      <c r="O133" s="157"/>
      <c r="P133" s="158"/>
      <c r="Q133" s="166"/>
      <c r="R133" s="168">
        <v>31945600</v>
      </c>
      <c r="S133" s="168">
        <v>31692900</v>
      </c>
      <c r="T133" s="168">
        <v>31692900</v>
      </c>
    </row>
    <row r="134" ht="17.45" customHeight="1" spans="1:20">
      <c r="A134" s="107"/>
      <c r="B134" s="75"/>
      <c r="C134" s="109">
        <v>0</v>
      </c>
      <c r="D134" s="80">
        <v>2021</v>
      </c>
      <c r="E134" s="77">
        <f t="shared" si="7"/>
        <v>0</v>
      </c>
      <c r="F134" s="86">
        <v>0</v>
      </c>
      <c r="G134" s="77">
        <v>0</v>
      </c>
      <c r="H134" s="77">
        <v>0</v>
      </c>
      <c r="I134" s="77">
        <v>0</v>
      </c>
      <c r="J134" s="77">
        <v>0</v>
      </c>
      <c r="K134" s="80"/>
      <c r="L134" s="155"/>
      <c r="M134" s="143"/>
      <c r="N134" s="156" t="s">
        <v>168</v>
      </c>
      <c r="O134" s="157"/>
      <c r="P134" s="158"/>
      <c r="Q134" s="166"/>
      <c r="R134" s="168">
        <v>310000</v>
      </c>
      <c r="S134" s="168">
        <v>310000</v>
      </c>
      <c r="T134" s="168">
        <v>0</v>
      </c>
    </row>
    <row r="135" ht="17.45" customHeight="1" spans="1:22">
      <c r="A135" s="107"/>
      <c r="B135" s="75"/>
      <c r="C135" s="109">
        <v>0</v>
      </c>
      <c r="D135" s="80">
        <v>2022</v>
      </c>
      <c r="E135" s="77">
        <f t="shared" si="7"/>
        <v>0</v>
      </c>
      <c r="F135" s="86">
        <v>0</v>
      </c>
      <c r="G135" s="77">
        <v>0</v>
      </c>
      <c r="H135" s="77">
        <v>0</v>
      </c>
      <c r="I135" s="77">
        <v>0</v>
      </c>
      <c r="J135" s="77">
        <v>0</v>
      </c>
      <c r="K135" s="80"/>
      <c r="L135" s="155"/>
      <c r="M135" s="143"/>
      <c r="N135" s="156" t="s">
        <v>169</v>
      </c>
      <c r="O135" s="157"/>
      <c r="P135" s="158"/>
      <c r="Q135" s="166"/>
      <c r="R135" s="203">
        <v>106000</v>
      </c>
      <c r="S135" s="168">
        <v>106000</v>
      </c>
      <c r="T135" s="168">
        <v>106000</v>
      </c>
      <c r="U135" s="33" t="s">
        <v>170</v>
      </c>
      <c r="V135" s="171">
        <v>106</v>
      </c>
    </row>
    <row r="136" ht="17.45" customHeight="1" spans="1:22">
      <c r="A136" s="107"/>
      <c r="B136" s="75"/>
      <c r="C136" s="109">
        <v>0</v>
      </c>
      <c r="D136" s="80">
        <v>2023</v>
      </c>
      <c r="E136" s="77">
        <f t="shared" si="7"/>
        <v>0</v>
      </c>
      <c r="F136" s="86">
        <v>0</v>
      </c>
      <c r="G136" s="77">
        <v>0</v>
      </c>
      <c r="H136" s="77">
        <v>0</v>
      </c>
      <c r="I136" s="77">
        <v>0</v>
      </c>
      <c r="J136" s="77">
        <v>0</v>
      </c>
      <c r="K136" s="80"/>
      <c r="L136" s="155"/>
      <c r="M136" s="143"/>
      <c r="N136" s="156" t="s">
        <v>171</v>
      </c>
      <c r="O136" s="157"/>
      <c r="P136" s="158"/>
      <c r="Q136" s="166"/>
      <c r="R136" s="203">
        <v>1941300</v>
      </c>
      <c r="S136" s="168">
        <v>1941300</v>
      </c>
      <c r="T136" s="168">
        <v>1941300</v>
      </c>
      <c r="U136" s="33" t="s">
        <v>172</v>
      </c>
      <c r="V136" s="171">
        <v>1941.3</v>
      </c>
    </row>
    <row r="137" ht="17.45" customHeight="1" spans="1:20">
      <c r="A137" s="107"/>
      <c r="B137" s="75"/>
      <c r="C137" s="109">
        <v>0</v>
      </c>
      <c r="D137" s="80">
        <v>2024</v>
      </c>
      <c r="E137" s="77">
        <f t="shared" si="7"/>
        <v>0</v>
      </c>
      <c r="F137" s="86">
        <v>0</v>
      </c>
      <c r="G137" s="77">
        <v>0</v>
      </c>
      <c r="H137" s="77">
        <v>0</v>
      </c>
      <c r="I137" s="77">
        <v>0</v>
      </c>
      <c r="J137" s="77">
        <v>0</v>
      </c>
      <c r="K137" s="80"/>
      <c r="L137" s="155"/>
      <c r="M137" s="143"/>
      <c r="N137" s="156" t="s">
        <v>173</v>
      </c>
      <c r="O137" s="157"/>
      <c r="P137" s="158"/>
      <c r="Q137" s="166"/>
      <c r="R137" s="168">
        <v>295000</v>
      </c>
      <c r="S137" s="168">
        <v>302500</v>
      </c>
      <c r="T137" s="168">
        <v>305500</v>
      </c>
    </row>
    <row r="138" ht="17.45" customHeight="1" spans="1:22">
      <c r="A138" s="107"/>
      <c r="B138" s="75"/>
      <c r="C138" s="109">
        <v>0</v>
      </c>
      <c r="D138" s="80">
        <v>2025</v>
      </c>
      <c r="E138" s="77">
        <f t="shared" si="7"/>
        <v>0</v>
      </c>
      <c r="F138" s="86">
        <v>0</v>
      </c>
      <c r="G138" s="77">
        <v>0</v>
      </c>
      <c r="H138" s="77">
        <v>0</v>
      </c>
      <c r="I138" s="77">
        <v>0</v>
      </c>
      <c r="J138" s="77">
        <v>0</v>
      </c>
      <c r="K138" s="80"/>
      <c r="L138" s="155"/>
      <c r="M138" s="143"/>
      <c r="N138" s="202"/>
      <c r="O138" s="202"/>
      <c r="P138" s="202"/>
      <c r="Q138" s="202"/>
      <c r="R138" s="204">
        <v>3036438900</v>
      </c>
      <c r="S138" s="204">
        <v>2920459100</v>
      </c>
      <c r="T138" s="204">
        <v>3014604200</v>
      </c>
      <c r="V138" s="169">
        <f>SUM(V43:V137)</f>
        <v>3042734</v>
      </c>
    </row>
    <row r="139" ht="17.45" customHeight="1" spans="1:18">
      <c r="A139" s="107"/>
      <c r="B139" s="75"/>
      <c r="C139" s="109"/>
      <c r="D139" s="80">
        <v>2026</v>
      </c>
      <c r="E139" s="77">
        <f t="shared" si="7"/>
        <v>0</v>
      </c>
      <c r="F139" s="86">
        <v>0</v>
      </c>
      <c r="G139" s="77">
        <v>0</v>
      </c>
      <c r="H139" s="77">
        <v>0</v>
      </c>
      <c r="I139" s="77">
        <v>0</v>
      </c>
      <c r="J139" s="77">
        <v>0</v>
      </c>
      <c r="K139" s="80"/>
      <c r="L139" s="155"/>
      <c r="M139" s="143"/>
      <c r="R139" s="33">
        <f>3156737.8</f>
        <v>3156737.8</v>
      </c>
    </row>
    <row r="140" ht="17.45" customHeight="1" spans="1:18">
      <c r="A140" s="107"/>
      <c r="B140" s="75" t="s">
        <v>174</v>
      </c>
      <c r="C140" s="108">
        <v>0</v>
      </c>
      <c r="D140" s="76">
        <v>2018</v>
      </c>
      <c r="E140" s="77">
        <f t="shared" si="7"/>
        <v>0</v>
      </c>
      <c r="F140" s="77">
        <v>0</v>
      </c>
      <c r="G140" s="77">
        <v>0</v>
      </c>
      <c r="H140" s="77">
        <v>0</v>
      </c>
      <c r="I140" s="77">
        <v>0</v>
      </c>
      <c r="J140" s="77">
        <v>0</v>
      </c>
      <c r="K140" s="80"/>
      <c r="L140" s="155"/>
      <c r="M140" s="143"/>
      <c r="R140" s="33">
        <f>R139-R138/1000</f>
        <v>120298.9</v>
      </c>
    </row>
    <row r="141" ht="17.45" customHeight="1" spans="1:13">
      <c r="A141" s="107"/>
      <c r="B141" s="75"/>
      <c r="C141" s="108">
        <v>0</v>
      </c>
      <c r="D141" s="76">
        <v>2019</v>
      </c>
      <c r="E141" s="77">
        <f t="shared" si="7"/>
        <v>0</v>
      </c>
      <c r="F141" s="77">
        <v>0</v>
      </c>
      <c r="G141" s="77">
        <v>0</v>
      </c>
      <c r="H141" s="77">
        <v>0</v>
      </c>
      <c r="I141" s="77">
        <v>0</v>
      </c>
      <c r="J141" s="77">
        <v>0</v>
      </c>
      <c r="K141" s="80"/>
      <c r="L141" s="155"/>
      <c r="M141" s="143"/>
    </row>
    <row r="142" ht="17.45" customHeight="1" spans="1:20">
      <c r="A142" s="107"/>
      <c r="B142" s="75"/>
      <c r="C142" s="108">
        <v>0</v>
      </c>
      <c r="D142" s="80">
        <v>2020</v>
      </c>
      <c r="E142" s="77">
        <f t="shared" si="7"/>
        <v>0</v>
      </c>
      <c r="F142" s="86">
        <v>0</v>
      </c>
      <c r="G142" s="77">
        <v>0</v>
      </c>
      <c r="H142" s="77">
        <v>0</v>
      </c>
      <c r="I142" s="77">
        <v>0</v>
      </c>
      <c r="J142" s="77">
        <v>0</v>
      </c>
      <c r="K142" s="80"/>
      <c r="L142" s="155"/>
      <c r="M142" s="143"/>
      <c r="O142" s="33" t="s">
        <v>175</v>
      </c>
      <c r="R142" s="170">
        <f>R43+R44+R45+R46+R48+R49+R50+R51+R52+R53+R54+R55+R56+R57+R59</f>
        <v>783828600</v>
      </c>
      <c r="S142" s="170">
        <f>S43+S44+S45+S46+S48+S49+S50+S51+S52+S53+S54+S55+S56+S57+S59</f>
        <v>790745500</v>
      </c>
      <c r="T142" s="170">
        <f>T43+T44+T45+T46+T48+T49+T50+T51+T52+T53+T54+T55+T56+T57+T59</f>
        <v>832217700</v>
      </c>
    </row>
    <row r="143" ht="17.45" customHeight="1" spans="1:20">
      <c r="A143" s="107"/>
      <c r="B143" s="75"/>
      <c r="C143" s="109">
        <v>0</v>
      </c>
      <c r="D143" s="80">
        <v>2021</v>
      </c>
      <c r="E143" s="77">
        <f t="shared" si="7"/>
        <v>0</v>
      </c>
      <c r="F143" s="86">
        <v>0</v>
      </c>
      <c r="G143" s="77">
        <v>0</v>
      </c>
      <c r="H143" s="77">
        <v>0</v>
      </c>
      <c r="I143" s="77">
        <v>0</v>
      </c>
      <c r="J143" s="77">
        <v>0</v>
      </c>
      <c r="K143" s="80"/>
      <c r="L143" s="155"/>
      <c r="M143" s="143"/>
      <c r="O143" s="33" t="s">
        <v>176</v>
      </c>
      <c r="R143" s="170">
        <f>R60+R61+R62+R63+R64+R65+R66+R67+R68+R69+R70+R71+R72+R74+R75+R76+R77+R78+R79+R80+R81+R82+R83+R84+R85+R86+R87+R89+R90+R91+R127+R128</f>
        <v>1902262500</v>
      </c>
      <c r="S143" s="170">
        <f t="shared" ref="S143:T143" si="12">S60+S61+S62+S63+S64+S65+S66+S67+S68+S69+S70+S71+S72+S74+S75+S76+S77+S78+S79+S80+S81+S82+S83+S84+S85+S86+S87+S89+S90+S91+S127+S128</f>
        <v>1788225700</v>
      </c>
      <c r="T143" s="170">
        <f t="shared" si="12"/>
        <v>1839444200</v>
      </c>
    </row>
    <row r="144" ht="17.45" customHeight="1" spans="1:20">
      <c r="A144" s="107"/>
      <c r="B144" s="75"/>
      <c r="C144" s="109">
        <v>0</v>
      </c>
      <c r="D144" s="80">
        <v>2022</v>
      </c>
      <c r="E144" s="77">
        <f t="shared" si="7"/>
        <v>48.5</v>
      </c>
      <c r="F144" s="86">
        <v>0</v>
      </c>
      <c r="G144" s="77">
        <v>0</v>
      </c>
      <c r="H144" s="77">
        <v>48.5</v>
      </c>
      <c r="I144" s="77">
        <v>0</v>
      </c>
      <c r="J144" s="77">
        <v>0</v>
      </c>
      <c r="K144" s="80"/>
      <c r="L144" s="155"/>
      <c r="M144" s="143"/>
      <c r="O144" s="33" t="s">
        <v>177</v>
      </c>
      <c r="R144" s="170">
        <f>R92+R93+R95+R94+R96+R97+R98+R100+R102+R106+R107+R132+R133+R134+R135+R136+R137</f>
        <v>102945100</v>
      </c>
      <c r="S144" s="170">
        <f t="shared" ref="S144:T144" si="13">S92+S93+S95+S94+S96+S97+S98+S100+S102+S106+S107+S132+S133+S134+S135+S136+S137</f>
        <v>96840700</v>
      </c>
      <c r="T144" s="170">
        <f t="shared" si="13"/>
        <v>96554800</v>
      </c>
    </row>
    <row r="145" ht="17.45" customHeight="1" spans="1:13">
      <c r="A145" s="107"/>
      <c r="B145" s="75"/>
      <c r="C145" s="109">
        <v>0</v>
      </c>
      <c r="D145" s="80">
        <v>2023</v>
      </c>
      <c r="E145" s="77">
        <f t="shared" si="7"/>
        <v>113.4</v>
      </c>
      <c r="F145" s="86">
        <v>0</v>
      </c>
      <c r="G145" s="77">
        <v>0</v>
      </c>
      <c r="H145" s="77">
        <v>113.4</v>
      </c>
      <c r="I145" s="77">
        <v>0</v>
      </c>
      <c r="J145" s="77">
        <v>0</v>
      </c>
      <c r="K145" s="80"/>
      <c r="L145" s="155"/>
      <c r="M145" s="143"/>
    </row>
    <row r="146" ht="17.45" customHeight="1" spans="1:13">
      <c r="A146" s="107"/>
      <c r="B146" s="75"/>
      <c r="C146" s="109">
        <v>0</v>
      </c>
      <c r="D146" s="80">
        <v>2024</v>
      </c>
      <c r="E146" s="77">
        <f t="shared" si="7"/>
        <v>34.9</v>
      </c>
      <c r="F146" s="86">
        <v>0</v>
      </c>
      <c r="G146" s="77">
        <v>0</v>
      </c>
      <c r="H146" s="87">
        <f>91.1-56.2</f>
        <v>34.9</v>
      </c>
      <c r="I146" s="77">
        <v>0</v>
      </c>
      <c r="J146" s="77">
        <v>0</v>
      </c>
      <c r="K146" s="80"/>
      <c r="L146" s="155"/>
      <c r="M146" s="143"/>
    </row>
    <row r="147" ht="17.45" customHeight="1" spans="1:13">
      <c r="A147" s="107"/>
      <c r="B147" s="75"/>
      <c r="C147" s="109">
        <v>0</v>
      </c>
      <c r="D147" s="80">
        <v>2025</v>
      </c>
      <c r="E147" s="77">
        <f t="shared" si="7"/>
        <v>33.4</v>
      </c>
      <c r="F147" s="86">
        <v>0</v>
      </c>
      <c r="G147" s="77">
        <v>0</v>
      </c>
      <c r="H147" s="87">
        <f>98.7-65.3</f>
        <v>33.4</v>
      </c>
      <c r="I147" s="77">
        <v>0</v>
      </c>
      <c r="J147" s="77">
        <v>0</v>
      </c>
      <c r="K147" s="80"/>
      <c r="L147" s="155"/>
      <c r="M147" s="143"/>
    </row>
    <row r="148" ht="17.45" customHeight="1" spans="1:13">
      <c r="A148" s="107"/>
      <c r="B148" s="75"/>
      <c r="C148" s="109"/>
      <c r="D148" s="80">
        <v>2026</v>
      </c>
      <c r="E148" s="77">
        <f t="shared" ref="E148" si="14">F148+G148+H148+J148</f>
        <v>64.2</v>
      </c>
      <c r="F148" s="86">
        <v>0</v>
      </c>
      <c r="G148" s="77">
        <v>0</v>
      </c>
      <c r="H148" s="87">
        <v>64.2</v>
      </c>
      <c r="I148" s="77">
        <v>0</v>
      </c>
      <c r="J148" s="77">
        <v>0</v>
      </c>
      <c r="K148" s="80"/>
      <c r="L148" s="155"/>
      <c r="M148" s="143"/>
    </row>
    <row r="149" ht="17.45" customHeight="1" spans="1:13">
      <c r="A149" s="107"/>
      <c r="B149" s="75"/>
      <c r="C149" s="109"/>
      <c r="D149" s="80">
        <v>2027</v>
      </c>
      <c r="E149" s="77">
        <f t="shared" si="7"/>
        <v>64.2</v>
      </c>
      <c r="F149" s="86">
        <v>0</v>
      </c>
      <c r="G149" s="77">
        <v>0</v>
      </c>
      <c r="H149" s="87">
        <v>64.2</v>
      </c>
      <c r="I149" s="77">
        <v>0</v>
      </c>
      <c r="J149" s="77">
        <v>0</v>
      </c>
      <c r="K149" s="80"/>
      <c r="L149" s="155"/>
      <c r="M149" s="143"/>
    </row>
    <row r="150" ht="17.45" customHeight="1" spans="1:13">
      <c r="A150" s="107"/>
      <c r="B150" s="75"/>
      <c r="C150" s="109"/>
      <c r="D150" s="80">
        <v>2028</v>
      </c>
      <c r="E150" s="77">
        <f>F150+G150+H150+I150+J150</f>
        <v>64.2</v>
      </c>
      <c r="F150" s="86">
        <v>0</v>
      </c>
      <c r="G150" s="77">
        <v>0</v>
      </c>
      <c r="H150" s="87">
        <v>64.2</v>
      </c>
      <c r="I150" s="77">
        <v>0</v>
      </c>
      <c r="J150" s="77">
        <v>0</v>
      </c>
      <c r="K150" s="80"/>
      <c r="L150" s="155"/>
      <c r="M150" s="143"/>
    </row>
    <row r="151" ht="17.45" customHeight="1" spans="1:13">
      <c r="A151" s="107"/>
      <c r="B151" s="75" t="s">
        <v>178</v>
      </c>
      <c r="C151" s="108">
        <v>0</v>
      </c>
      <c r="D151" s="76">
        <v>2018</v>
      </c>
      <c r="E151" s="77">
        <f t="shared" si="7"/>
        <v>57977.1</v>
      </c>
      <c r="F151" s="77">
        <v>0</v>
      </c>
      <c r="G151" s="77">
        <v>0</v>
      </c>
      <c r="H151" s="77">
        <v>0</v>
      </c>
      <c r="I151" s="77">
        <v>0</v>
      </c>
      <c r="J151" s="77">
        <v>57977.1</v>
      </c>
      <c r="K151" s="80"/>
      <c r="L151" s="155"/>
      <c r="M151" s="143"/>
    </row>
    <row r="152" ht="17.45" customHeight="1" spans="1:13">
      <c r="A152" s="107"/>
      <c r="B152" s="75"/>
      <c r="C152" s="108">
        <v>0</v>
      </c>
      <c r="D152" s="76">
        <v>2019</v>
      </c>
      <c r="E152" s="77">
        <f t="shared" si="7"/>
        <v>59231.3</v>
      </c>
      <c r="F152" s="77">
        <v>0</v>
      </c>
      <c r="G152" s="77">
        <v>0</v>
      </c>
      <c r="H152" s="77">
        <v>0</v>
      </c>
      <c r="I152" s="77">
        <v>0</v>
      </c>
      <c r="J152" s="77">
        <v>59231.3</v>
      </c>
      <c r="K152" s="80"/>
      <c r="L152" s="155"/>
      <c r="M152" s="143"/>
    </row>
    <row r="153" ht="17.45" customHeight="1" spans="1:13">
      <c r="A153" s="107"/>
      <c r="B153" s="75"/>
      <c r="C153" s="108">
        <v>0</v>
      </c>
      <c r="D153" s="80">
        <v>2020</v>
      </c>
      <c r="E153" s="77">
        <f t="shared" si="7"/>
        <v>70551.9</v>
      </c>
      <c r="F153" s="86">
        <v>0</v>
      </c>
      <c r="G153" s="77">
        <v>0</v>
      </c>
      <c r="H153" s="77">
        <v>0</v>
      </c>
      <c r="I153" s="77">
        <v>0</v>
      </c>
      <c r="J153" s="77">
        <v>70551.9</v>
      </c>
      <c r="K153" s="80"/>
      <c r="L153" s="155"/>
      <c r="M153" s="143"/>
    </row>
    <row r="154" ht="17.45" customHeight="1" spans="1:13">
      <c r="A154" s="107"/>
      <c r="B154" s="75"/>
      <c r="C154" s="109">
        <v>0</v>
      </c>
      <c r="D154" s="80">
        <v>2021</v>
      </c>
      <c r="E154" s="77">
        <f t="shared" si="7"/>
        <v>69547.4</v>
      </c>
      <c r="F154" s="86">
        <v>0</v>
      </c>
      <c r="G154" s="77">
        <v>0</v>
      </c>
      <c r="H154" s="77">
        <v>0</v>
      </c>
      <c r="I154" s="77">
        <v>0</v>
      </c>
      <c r="J154" s="77">
        <v>69547.4</v>
      </c>
      <c r="K154" s="80"/>
      <c r="L154" s="155"/>
      <c r="M154" s="143"/>
    </row>
    <row r="155" ht="17.45" customHeight="1" spans="1:13">
      <c r="A155" s="107"/>
      <c r="B155" s="75"/>
      <c r="C155" s="109">
        <v>0</v>
      </c>
      <c r="D155" s="80">
        <v>2022</v>
      </c>
      <c r="E155" s="77">
        <f t="shared" si="7"/>
        <v>83610.2</v>
      </c>
      <c r="F155" s="86">
        <v>0</v>
      </c>
      <c r="G155" s="77">
        <v>0</v>
      </c>
      <c r="H155" s="77">
        <v>0</v>
      </c>
      <c r="I155" s="77">
        <v>0</v>
      </c>
      <c r="J155" s="77">
        <f>108133.9-6423.7-18100</f>
        <v>83610.2</v>
      </c>
      <c r="K155" s="80"/>
      <c r="L155" s="155"/>
      <c r="M155" s="143"/>
    </row>
    <row r="156" ht="17.45" customHeight="1" spans="1:13">
      <c r="A156" s="107"/>
      <c r="B156" s="75"/>
      <c r="C156" s="109">
        <v>0</v>
      </c>
      <c r="D156" s="80">
        <v>2023</v>
      </c>
      <c r="E156" s="77">
        <f t="shared" si="7"/>
        <v>83561.6</v>
      </c>
      <c r="F156" s="86">
        <v>0</v>
      </c>
      <c r="G156" s="77">
        <v>0</v>
      </c>
      <c r="H156" s="77">
        <v>0</v>
      </c>
      <c r="I156" s="77">
        <v>0</v>
      </c>
      <c r="J156" s="77">
        <f>93314.1-9752.5</f>
        <v>83561.6</v>
      </c>
      <c r="K156" s="80"/>
      <c r="L156" s="155"/>
      <c r="M156" s="143"/>
    </row>
    <row r="157" ht="17.45" customHeight="1" spans="1:13">
      <c r="A157" s="107"/>
      <c r="B157" s="75"/>
      <c r="C157" s="109">
        <v>0</v>
      </c>
      <c r="D157" s="80">
        <v>2024</v>
      </c>
      <c r="E157" s="77">
        <f t="shared" si="7"/>
        <v>104084.7</v>
      </c>
      <c r="F157" s="86">
        <v>0</v>
      </c>
      <c r="G157" s="77">
        <v>0</v>
      </c>
      <c r="H157" s="77">
        <v>0</v>
      </c>
      <c r="I157" s="77">
        <v>0</v>
      </c>
      <c r="J157" s="77">
        <f>83561.6+20523.1</f>
        <v>104084.7</v>
      </c>
      <c r="K157" s="80"/>
      <c r="L157" s="155"/>
      <c r="M157" s="143"/>
    </row>
    <row r="158" ht="17.45" customHeight="1" spans="1:13">
      <c r="A158" s="107"/>
      <c r="B158" s="75"/>
      <c r="C158" s="109">
        <v>0</v>
      </c>
      <c r="D158" s="80">
        <v>2025</v>
      </c>
      <c r="E158" s="77">
        <f t="shared" si="7"/>
        <v>72000</v>
      </c>
      <c r="F158" s="86">
        <v>0</v>
      </c>
      <c r="G158" s="77">
        <v>0</v>
      </c>
      <c r="H158" s="77">
        <v>0</v>
      </c>
      <c r="I158" s="77">
        <v>0</v>
      </c>
      <c r="J158" s="77">
        <v>72000</v>
      </c>
      <c r="K158" s="80"/>
      <c r="L158" s="155"/>
      <c r="M158" s="143"/>
    </row>
    <row r="159" ht="17.45" customHeight="1" spans="1:13">
      <c r="A159" s="107"/>
      <c r="B159" s="75"/>
      <c r="C159" s="109"/>
      <c r="D159" s="80">
        <v>2026</v>
      </c>
      <c r="E159" s="77">
        <f t="shared" ref="E159" si="15">F159+G159+H159+J159</f>
        <v>91000</v>
      </c>
      <c r="F159" s="86">
        <v>0</v>
      </c>
      <c r="G159" s="77">
        <v>0</v>
      </c>
      <c r="H159" s="77">
        <v>0</v>
      </c>
      <c r="I159" s="77">
        <v>0</v>
      </c>
      <c r="J159" s="77">
        <v>91000</v>
      </c>
      <c r="K159" s="80"/>
      <c r="L159" s="155"/>
      <c r="M159" s="143"/>
    </row>
    <row r="160" ht="17.45" customHeight="1" spans="1:13">
      <c r="A160" s="107"/>
      <c r="B160" s="75"/>
      <c r="C160" s="109"/>
      <c r="D160" s="80">
        <v>2027</v>
      </c>
      <c r="E160" s="77">
        <f t="shared" si="7"/>
        <v>91000</v>
      </c>
      <c r="F160" s="86">
        <v>0</v>
      </c>
      <c r="G160" s="77">
        <v>0</v>
      </c>
      <c r="H160" s="77">
        <v>0</v>
      </c>
      <c r="I160" s="77">
        <v>0</v>
      </c>
      <c r="J160" s="77">
        <v>91000</v>
      </c>
      <c r="K160" s="80"/>
      <c r="L160" s="155"/>
      <c r="M160" s="143"/>
    </row>
    <row r="161" ht="17.45" customHeight="1" spans="1:13">
      <c r="A161" s="107"/>
      <c r="B161" s="75"/>
      <c r="C161" s="109"/>
      <c r="D161" s="80">
        <v>2028</v>
      </c>
      <c r="E161" s="77">
        <f>F161+G161+H161+I161+J161</f>
        <v>91000</v>
      </c>
      <c r="F161" s="86">
        <v>0</v>
      </c>
      <c r="G161" s="77">
        <v>0</v>
      </c>
      <c r="H161" s="77">
        <v>0</v>
      </c>
      <c r="I161" s="77">
        <v>0</v>
      </c>
      <c r="J161" s="77">
        <v>91000</v>
      </c>
      <c r="K161" s="80"/>
      <c r="L161" s="155"/>
      <c r="M161" s="143"/>
    </row>
    <row r="162" ht="17.45" customHeight="1" spans="1:13">
      <c r="A162" s="107" t="s">
        <v>179</v>
      </c>
      <c r="B162" s="75" t="s">
        <v>180</v>
      </c>
      <c r="C162" s="108">
        <v>0</v>
      </c>
      <c r="D162" s="76">
        <v>2018</v>
      </c>
      <c r="E162" s="77">
        <f t="shared" si="7"/>
        <v>672006.2</v>
      </c>
      <c r="F162" s="77">
        <v>0</v>
      </c>
      <c r="G162" s="77">
        <f>G173</f>
        <v>542844.5</v>
      </c>
      <c r="H162" s="77">
        <f t="shared" ref="H162:H171" si="16">H173+H195+H206+H217+H228+H239</f>
        <v>129161.7</v>
      </c>
      <c r="I162" s="77">
        <v>0</v>
      </c>
      <c r="J162" s="77">
        <v>0</v>
      </c>
      <c r="K162" s="80" t="s">
        <v>181</v>
      </c>
      <c r="L162" s="155" t="s">
        <v>35</v>
      </c>
      <c r="M162" s="143"/>
    </row>
    <row r="163" ht="17.45" customHeight="1" spans="1:13">
      <c r="A163" s="107"/>
      <c r="B163" s="75"/>
      <c r="C163" s="108">
        <v>0</v>
      </c>
      <c r="D163" s="76">
        <v>2019</v>
      </c>
      <c r="E163" s="77">
        <f t="shared" si="7"/>
        <v>726214.6</v>
      </c>
      <c r="F163" s="77">
        <v>0</v>
      </c>
      <c r="G163" s="77">
        <f t="shared" ref="G163:G166" si="17">G174</f>
        <v>579302.2</v>
      </c>
      <c r="H163" s="77">
        <f t="shared" si="16"/>
        <v>146912.4</v>
      </c>
      <c r="I163" s="77">
        <v>0</v>
      </c>
      <c r="J163" s="77">
        <v>0</v>
      </c>
      <c r="K163" s="80"/>
      <c r="L163" s="155"/>
      <c r="M163" s="143"/>
    </row>
    <row r="164" ht="17.45" customHeight="1" spans="1:13">
      <c r="A164" s="107"/>
      <c r="B164" s="75"/>
      <c r="C164" s="108">
        <v>0</v>
      </c>
      <c r="D164" s="80">
        <v>2020</v>
      </c>
      <c r="E164" s="77">
        <f t="shared" si="7"/>
        <v>761500.9</v>
      </c>
      <c r="F164" s="86">
        <v>0</v>
      </c>
      <c r="G164" s="77">
        <f t="shared" si="17"/>
        <v>611447.6</v>
      </c>
      <c r="H164" s="77">
        <f t="shared" si="16"/>
        <v>150053.3</v>
      </c>
      <c r="I164" s="77">
        <v>0</v>
      </c>
      <c r="J164" s="77">
        <v>0</v>
      </c>
      <c r="K164" s="80"/>
      <c r="L164" s="155"/>
      <c r="M164" s="143"/>
    </row>
    <row r="165" ht="17.45" customHeight="1" spans="1:13">
      <c r="A165" s="107"/>
      <c r="B165" s="75"/>
      <c r="C165" s="109">
        <v>0</v>
      </c>
      <c r="D165" s="80">
        <v>2021</v>
      </c>
      <c r="E165" s="77">
        <f t="shared" si="7"/>
        <v>812507.1</v>
      </c>
      <c r="F165" s="86">
        <v>0</v>
      </c>
      <c r="G165" s="77">
        <f t="shared" si="17"/>
        <v>616452.1</v>
      </c>
      <c r="H165" s="77">
        <f t="shared" si="16"/>
        <v>196055</v>
      </c>
      <c r="I165" s="77">
        <v>0</v>
      </c>
      <c r="J165" s="77">
        <v>0</v>
      </c>
      <c r="K165" s="80"/>
      <c r="L165" s="155"/>
      <c r="M165" s="143"/>
    </row>
    <row r="166" ht="17.45" customHeight="1" spans="1:13">
      <c r="A166" s="107"/>
      <c r="B166" s="75"/>
      <c r="C166" s="109">
        <v>0</v>
      </c>
      <c r="D166" s="80">
        <v>2022</v>
      </c>
      <c r="E166" s="77">
        <f t="shared" si="7"/>
        <v>856518.1</v>
      </c>
      <c r="F166" s="86">
        <v>0</v>
      </c>
      <c r="G166" s="77">
        <f t="shared" si="17"/>
        <v>655177.3</v>
      </c>
      <c r="H166" s="77">
        <f t="shared" si="16"/>
        <v>201340.8</v>
      </c>
      <c r="I166" s="77">
        <v>0</v>
      </c>
      <c r="J166" s="77">
        <v>0</v>
      </c>
      <c r="K166" s="80"/>
      <c r="L166" s="155"/>
      <c r="M166" s="143"/>
    </row>
    <row r="167" ht="17.45" customHeight="1" spans="1:13">
      <c r="A167" s="107"/>
      <c r="B167" s="75"/>
      <c r="C167" s="109">
        <v>0</v>
      </c>
      <c r="D167" s="80">
        <v>2023</v>
      </c>
      <c r="E167" s="77">
        <f t="shared" si="7"/>
        <v>991757.9</v>
      </c>
      <c r="F167" s="86">
        <v>0</v>
      </c>
      <c r="G167" s="77">
        <f t="shared" ref="G167:G172" si="18">G178+G189</f>
        <v>756043.4</v>
      </c>
      <c r="H167" s="77">
        <f t="shared" si="16"/>
        <v>235714.5</v>
      </c>
      <c r="I167" s="77">
        <v>0</v>
      </c>
      <c r="J167" s="77">
        <v>0</v>
      </c>
      <c r="K167" s="80"/>
      <c r="L167" s="155"/>
      <c r="M167" s="143"/>
    </row>
    <row r="168" ht="17.45" customHeight="1" spans="1:13">
      <c r="A168" s="107"/>
      <c r="B168" s="75"/>
      <c r="C168" s="109">
        <v>0</v>
      </c>
      <c r="D168" s="80">
        <v>2024</v>
      </c>
      <c r="E168" s="77">
        <f t="shared" si="7"/>
        <v>1263767.9</v>
      </c>
      <c r="F168" s="86">
        <v>0</v>
      </c>
      <c r="G168" s="77">
        <f t="shared" si="18"/>
        <v>1015469.7</v>
      </c>
      <c r="H168" s="77">
        <f t="shared" si="16"/>
        <v>248298.2</v>
      </c>
      <c r="I168" s="77">
        <v>0</v>
      </c>
      <c r="J168" s="77">
        <v>0</v>
      </c>
      <c r="K168" s="80"/>
      <c r="L168" s="155"/>
      <c r="M168" s="143"/>
    </row>
    <row r="169" ht="17.45" customHeight="1" spans="1:13">
      <c r="A169" s="107"/>
      <c r="B169" s="75"/>
      <c r="C169" s="109">
        <v>0</v>
      </c>
      <c r="D169" s="80">
        <v>2025</v>
      </c>
      <c r="E169" s="77">
        <f t="shared" si="7"/>
        <v>1640519.9</v>
      </c>
      <c r="F169" s="86">
        <v>0</v>
      </c>
      <c r="G169" s="77">
        <f t="shared" si="18"/>
        <v>1257357</v>
      </c>
      <c r="H169" s="77">
        <f t="shared" si="16"/>
        <v>383162.9</v>
      </c>
      <c r="I169" s="77">
        <v>0</v>
      </c>
      <c r="J169" s="77">
        <v>0</v>
      </c>
      <c r="K169" s="80"/>
      <c r="L169" s="155"/>
      <c r="M169" s="143"/>
    </row>
    <row r="170" ht="17.45" customHeight="1" spans="1:13">
      <c r="A170" s="107"/>
      <c r="B170" s="75"/>
      <c r="C170" s="109"/>
      <c r="D170" s="80">
        <v>2026</v>
      </c>
      <c r="E170" s="77">
        <f t="shared" ref="E170" si="19">F170+G170+H170+J170</f>
        <v>1774680.3</v>
      </c>
      <c r="F170" s="86">
        <v>0</v>
      </c>
      <c r="G170" s="77">
        <f t="shared" si="18"/>
        <v>1449808</v>
      </c>
      <c r="H170" s="77">
        <f t="shared" si="16"/>
        <v>324872.3</v>
      </c>
      <c r="I170" s="77">
        <v>0</v>
      </c>
      <c r="J170" s="77">
        <v>0</v>
      </c>
      <c r="K170" s="80"/>
      <c r="L170" s="155"/>
      <c r="M170" s="143"/>
    </row>
    <row r="171" ht="17.45" customHeight="1" spans="1:13">
      <c r="A171" s="107"/>
      <c r="B171" s="75"/>
      <c r="C171" s="109"/>
      <c r="D171" s="80">
        <v>2027</v>
      </c>
      <c r="E171" s="77">
        <f t="shared" si="7"/>
        <v>1967557.3</v>
      </c>
      <c r="F171" s="86">
        <v>0</v>
      </c>
      <c r="G171" s="77">
        <f t="shared" si="18"/>
        <v>1633698.7</v>
      </c>
      <c r="H171" s="77">
        <f t="shared" si="16"/>
        <v>333858.6</v>
      </c>
      <c r="I171" s="77">
        <v>0</v>
      </c>
      <c r="J171" s="77">
        <v>0</v>
      </c>
      <c r="K171" s="80"/>
      <c r="L171" s="155"/>
      <c r="M171" s="143"/>
    </row>
    <row r="172" s="23" customFormat="1" ht="17.45" customHeight="1" spans="1:13">
      <c r="A172" s="107"/>
      <c r="B172" s="75"/>
      <c r="C172" s="109"/>
      <c r="D172" s="80">
        <v>2028</v>
      </c>
      <c r="E172" s="77">
        <f>F172+G172+H172+I172+J172</f>
        <v>2095820.4</v>
      </c>
      <c r="F172" s="86">
        <v>0</v>
      </c>
      <c r="G172" s="77">
        <f t="shared" si="18"/>
        <v>1756565.5</v>
      </c>
      <c r="H172" s="77">
        <f>H183+H194+H205+H216+H227+H238+H249</f>
        <v>339254.9</v>
      </c>
      <c r="I172" s="77">
        <v>0</v>
      </c>
      <c r="J172" s="77">
        <v>0</v>
      </c>
      <c r="K172" s="80"/>
      <c r="L172" s="155"/>
      <c r="M172" s="194"/>
    </row>
    <row r="173" ht="17.45" customHeight="1" spans="1:13">
      <c r="A173" s="107"/>
      <c r="B173" s="75" t="s">
        <v>182</v>
      </c>
      <c r="C173" s="180">
        <v>0</v>
      </c>
      <c r="D173" s="181">
        <v>2018</v>
      </c>
      <c r="E173" s="88">
        <f t="shared" si="7"/>
        <v>660511.3</v>
      </c>
      <c r="F173" s="88">
        <v>0</v>
      </c>
      <c r="G173" s="88">
        <v>542844.5</v>
      </c>
      <c r="H173" s="88">
        <v>117666.8</v>
      </c>
      <c r="I173" s="88">
        <v>0</v>
      </c>
      <c r="J173" s="88">
        <v>0</v>
      </c>
      <c r="K173" s="80"/>
      <c r="L173" s="155"/>
      <c r="M173" s="143"/>
    </row>
    <row r="174" ht="17.25" customHeight="1" spans="1:13">
      <c r="A174" s="107"/>
      <c r="B174" s="75"/>
      <c r="C174" s="108">
        <v>0</v>
      </c>
      <c r="D174" s="76">
        <v>2019</v>
      </c>
      <c r="E174" s="77">
        <f t="shared" si="7"/>
        <v>704263.2</v>
      </c>
      <c r="F174" s="77">
        <v>0</v>
      </c>
      <c r="G174" s="77">
        <v>579302.2</v>
      </c>
      <c r="H174" s="77">
        <v>124961</v>
      </c>
      <c r="I174" s="77">
        <v>0</v>
      </c>
      <c r="J174" s="77">
        <v>0</v>
      </c>
      <c r="K174" s="80"/>
      <c r="L174" s="155"/>
      <c r="M174" s="143"/>
    </row>
    <row r="175" ht="17.45" customHeight="1" spans="1:13">
      <c r="A175" s="107"/>
      <c r="B175" s="75"/>
      <c r="C175" s="108">
        <v>0</v>
      </c>
      <c r="D175" s="80">
        <v>2020</v>
      </c>
      <c r="E175" s="77">
        <f t="shared" si="7"/>
        <v>746389</v>
      </c>
      <c r="F175" s="86">
        <v>0</v>
      </c>
      <c r="G175" s="77">
        <v>611447.6</v>
      </c>
      <c r="H175" s="77">
        <v>134941.4</v>
      </c>
      <c r="I175" s="77">
        <v>0</v>
      </c>
      <c r="J175" s="77">
        <v>0</v>
      </c>
      <c r="K175" s="80"/>
      <c r="L175" s="155"/>
      <c r="M175" s="143"/>
    </row>
    <row r="176" ht="17.45" customHeight="1" spans="1:13">
      <c r="A176" s="107"/>
      <c r="B176" s="75"/>
      <c r="C176" s="109">
        <v>0</v>
      </c>
      <c r="D176" s="80">
        <v>2021</v>
      </c>
      <c r="E176" s="77">
        <f t="shared" si="7"/>
        <v>788161.1</v>
      </c>
      <c r="F176" s="86">
        <v>0</v>
      </c>
      <c r="G176" s="77">
        <v>616452.1</v>
      </c>
      <c r="H176" s="77">
        <v>171709</v>
      </c>
      <c r="I176" s="77">
        <v>0</v>
      </c>
      <c r="J176" s="77">
        <v>0</v>
      </c>
      <c r="K176" s="80"/>
      <c r="L176" s="155"/>
      <c r="M176" s="143"/>
    </row>
    <row r="177" ht="17.45" customHeight="1" spans="1:13">
      <c r="A177" s="107"/>
      <c r="B177" s="75"/>
      <c r="C177" s="109">
        <v>0</v>
      </c>
      <c r="D177" s="80">
        <v>2022</v>
      </c>
      <c r="E177" s="77">
        <f t="shared" si="7"/>
        <v>844913.3</v>
      </c>
      <c r="F177" s="86">
        <v>0</v>
      </c>
      <c r="G177" s="77">
        <f>618230.9+30755+6191.4</f>
        <v>655177.3</v>
      </c>
      <c r="H177" s="77">
        <f>181469.6+167+1957.7+2531.9+3609.8</f>
        <v>189736</v>
      </c>
      <c r="I177" s="77">
        <v>0</v>
      </c>
      <c r="J177" s="77">
        <v>0</v>
      </c>
      <c r="K177" s="80"/>
      <c r="L177" s="155"/>
      <c r="M177" s="143"/>
    </row>
    <row r="178" ht="17.45" customHeight="1" spans="1:13">
      <c r="A178" s="107"/>
      <c r="B178" s="75"/>
      <c r="C178" s="109">
        <v>0</v>
      </c>
      <c r="D178" s="80">
        <v>2023</v>
      </c>
      <c r="E178" s="77">
        <f t="shared" si="7"/>
        <v>879267.5</v>
      </c>
      <c r="F178" s="86">
        <v>0</v>
      </c>
      <c r="G178" s="77">
        <f>629345.1+17325.4+1431.7+1337+11148</f>
        <v>660587.2</v>
      </c>
      <c r="H178" s="77">
        <f>208259.8+2449.1+565.4+401.5+1498.9+5236.2+250+292-470.6+198</f>
        <v>218680.3</v>
      </c>
      <c r="I178" s="77">
        <v>0</v>
      </c>
      <c r="J178" s="77">
        <v>0</v>
      </c>
      <c r="K178" s="80"/>
      <c r="L178" s="155"/>
      <c r="M178" s="143"/>
    </row>
    <row r="179" ht="17.45" customHeight="1" spans="1:13">
      <c r="A179" s="107"/>
      <c r="B179" s="75"/>
      <c r="C179" s="109">
        <v>0</v>
      </c>
      <c r="D179" s="80">
        <v>2024</v>
      </c>
      <c r="E179" s="77">
        <f>F179+G179+H179+J179</f>
        <v>1094244.2</v>
      </c>
      <c r="F179" s="86">
        <v>0</v>
      </c>
      <c r="G179" s="87">
        <f>817152.3-G190-2693.1-3311+104002.3+49930.6+50388.6</f>
        <v>869586.7</v>
      </c>
      <c r="H179" s="87">
        <f>229379.5-3291.7-460-56-219.3-695</f>
        <v>224657.5</v>
      </c>
      <c r="I179" s="77">
        <v>0</v>
      </c>
      <c r="J179" s="77">
        <v>0</v>
      </c>
      <c r="K179" s="80"/>
      <c r="L179" s="155"/>
      <c r="M179" s="143"/>
    </row>
    <row r="180" ht="17.45" customHeight="1" spans="1:13">
      <c r="A180" s="107"/>
      <c r="B180" s="75"/>
      <c r="C180" s="109">
        <v>0</v>
      </c>
      <c r="D180" s="80">
        <v>2025</v>
      </c>
      <c r="E180" s="77">
        <f t="shared" si="7"/>
        <v>1394982.4</v>
      </c>
      <c r="F180" s="86">
        <v>0</v>
      </c>
      <c r="G180" s="87">
        <f>1162336-222151.8+94892.6+0.2+66.7-1+14441.5</f>
        <v>1049584.2</v>
      </c>
      <c r="H180" s="87">
        <f>269882.3+31000+3342.2+9000+1356.3+943.6+755+1719+5317.5+554.6+4800+69.2+10000+2150-100+4684.5-76</f>
        <v>345398.2</v>
      </c>
      <c r="I180" s="77">
        <v>0</v>
      </c>
      <c r="J180" s="77">
        <v>0</v>
      </c>
      <c r="K180" s="80"/>
      <c r="L180" s="155"/>
      <c r="M180" s="143"/>
    </row>
    <row r="181" ht="17.45" customHeight="1" spans="1:13">
      <c r="A181" s="107"/>
      <c r="B181" s="75"/>
      <c r="C181" s="109"/>
      <c r="D181" s="80">
        <v>2026</v>
      </c>
      <c r="E181" s="77">
        <f t="shared" ref="E181" si="20">F181+G181+H181+J181</f>
        <v>1472051.4</v>
      </c>
      <c r="F181" s="86">
        <v>0</v>
      </c>
      <c r="G181" s="87">
        <v>1168057.5</v>
      </c>
      <c r="H181" s="87">
        <f>303993.9</f>
        <v>303993.9</v>
      </c>
      <c r="I181" s="77">
        <v>0</v>
      </c>
      <c r="J181" s="77">
        <v>0</v>
      </c>
      <c r="K181" s="80"/>
      <c r="L181" s="155"/>
      <c r="M181" s="143"/>
    </row>
    <row r="182" ht="17.45" customHeight="1" spans="1:13">
      <c r="A182" s="107"/>
      <c r="B182" s="75"/>
      <c r="C182" s="109"/>
      <c r="D182" s="80">
        <v>2027</v>
      </c>
      <c r="E182" s="77">
        <f t="shared" si="7"/>
        <v>1662492.9</v>
      </c>
      <c r="F182" s="86">
        <v>0</v>
      </c>
      <c r="G182" s="87">
        <f>1199647.8+150700</f>
        <v>1350347.8</v>
      </c>
      <c r="H182" s="87">
        <v>312145.1</v>
      </c>
      <c r="I182" s="77">
        <v>0</v>
      </c>
      <c r="J182" s="77">
        <v>0</v>
      </c>
      <c r="K182" s="80"/>
      <c r="L182" s="155"/>
      <c r="M182" s="143"/>
    </row>
    <row r="183" ht="17.45" customHeight="1" spans="1:13">
      <c r="A183" s="107"/>
      <c r="B183" s="75"/>
      <c r="C183" s="109"/>
      <c r="D183" s="80">
        <v>2028</v>
      </c>
      <c r="E183" s="77">
        <f>F183+G183+H183+I183+J183</f>
        <v>1777291.5</v>
      </c>
      <c r="F183" s="86">
        <v>0</v>
      </c>
      <c r="G183" s="87">
        <f>1303146.4+162000</f>
        <v>1465146.4</v>
      </c>
      <c r="H183" s="87">
        <v>312145.1</v>
      </c>
      <c r="I183" s="77">
        <v>0</v>
      </c>
      <c r="J183" s="77">
        <v>0</v>
      </c>
      <c r="K183" s="80"/>
      <c r="L183" s="155"/>
      <c r="M183" s="143"/>
    </row>
    <row r="184" ht="17.45" customHeight="1" spans="1:13">
      <c r="A184" s="107"/>
      <c r="B184" s="75" t="s">
        <v>183</v>
      </c>
      <c r="C184" s="108">
        <v>0</v>
      </c>
      <c r="D184" s="76">
        <v>2018</v>
      </c>
      <c r="E184" s="77">
        <f t="shared" si="7"/>
        <v>0</v>
      </c>
      <c r="F184" s="77">
        <v>0</v>
      </c>
      <c r="G184" s="77">
        <v>0</v>
      </c>
      <c r="H184" s="77">
        <v>0</v>
      </c>
      <c r="I184" s="77">
        <v>0</v>
      </c>
      <c r="J184" s="77">
        <v>0</v>
      </c>
      <c r="K184" s="80"/>
      <c r="L184" s="155"/>
      <c r="M184" s="143"/>
    </row>
    <row r="185" ht="17.45" customHeight="1" spans="1:13">
      <c r="A185" s="107"/>
      <c r="B185" s="75"/>
      <c r="C185" s="108">
        <v>0</v>
      </c>
      <c r="D185" s="76">
        <v>2019</v>
      </c>
      <c r="E185" s="77">
        <f t="shared" si="7"/>
        <v>0</v>
      </c>
      <c r="F185" s="77">
        <v>0</v>
      </c>
      <c r="G185" s="77">
        <v>0</v>
      </c>
      <c r="H185" s="77">
        <v>0</v>
      </c>
      <c r="I185" s="77">
        <v>0</v>
      </c>
      <c r="J185" s="77">
        <v>0</v>
      </c>
      <c r="K185" s="80"/>
      <c r="L185" s="155"/>
      <c r="M185" s="143"/>
    </row>
    <row r="186" ht="17.45" customHeight="1" spans="1:13">
      <c r="A186" s="107"/>
      <c r="B186" s="75"/>
      <c r="C186" s="108">
        <v>0</v>
      </c>
      <c r="D186" s="80">
        <v>2020</v>
      </c>
      <c r="E186" s="77">
        <f t="shared" si="7"/>
        <v>0</v>
      </c>
      <c r="F186" s="86">
        <v>0</v>
      </c>
      <c r="G186" s="77">
        <v>0</v>
      </c>
      <c r="H186" s="77">
        <v>0</v>
      </c>
      <c r="I186" s="77">
        <v>0</v>
      </c>
      <c r="J186" s="77">
        <v>0</v>
      </c>
      <c r="K186" s="80"/>
      <c r="L186" s="155"/>
      <c r="M186" s="143"/>
    </row>
    <row r="187" ht="17.45" customHeight="1" spans="1:13">
      <c r="A187" s="107"/>
      <c r="B187" s="75"/>
      <c r="C187" s="109">
        <v>0</v>
      </c>
      <c r="D187" s="80">
        <v>2021</v>
      </c>
      <c r="E187" s="77">
        <f t="shared" si="7"/>
        <v>0</v>
      </c>
      <c r="F187" s="86">
        <v>0</v>
      </c>
      <c r="G187" s="77">
        <v>0</v>
      </c>
      <c r="H187" s="77">
        <v>0</v>
      </c>
      <c r="I187" s="77">
        <v>0</v>
      </c>
      <c r="J187" s="77">
        <v>0</v>
      </c>
      <c r="K187" s="80"/>
      <c r="L187" s="155"/>
      <c r="M187" s="143"/>
    </row>
    <row r="188" ht="17.45" customHeight="1" spans="1:13">
      <c r="A188" s="107"/>
      <c r="B188" s="75"/>
      <c r="C188" s="109">
        <v>0</v>
      </c>
      <c r="D188" s="80">
        <v>2022</v>
      </c>
      <c r="E188" s="77">
        <f t="shared" si="7"/>
        <v>0</v>
      </c>
      <c r="F188" s="86">
        <v>0</v>
      </c>
      <c r="G188" s="77">
        <v>0</v>
      </c>
      <c r="H188" s="77">
        <v>0</v>
      </c>
      <c r="I188" s="77">
        <v>0</v>
      </c>
      <c r="J188" s="77">
        <v>0</v>
      </c>
      <c r="K188" s="80"/>
      <c r="L188" s="155"/>
      <c r="M188" s="143"/>
    </row>
    <row r="189" ht="17.45" customHeight="1" spans="1:13">
      <c r="A189" s="107"/>
      <c r="B189" s="75"/>
      <c r="C189" s="109">
        <v>0</v>
      </c>
      <c r="D189" s="80">
        <v>2023</v>
      </c>
      <c r="E189" s="77">
        <f t="shared" si="7"/>
        <v>95456.2</v>
      </c>
      <c r="F189" s="86">
        <v>0</v>
      </c>
      <c r="G189" s="77">
        <f>92267.8+4490-1301.6</f>
        <v>95456.2</v>
      </c>
      <c r="H189" s="77">
        <v>0</v>
      </c>
      <c r="I189" s="77">
        <v>0</v>
      </c>
      <c r="J189" s="77">
        <v>0</v>
      </c>
      <c r="K189" s="80"/>
      <c r="L189" s="155"/>
      <c r="M189" s="143"/>
    </row>
    <row r="190" ht="17.45" customHeight="1" spans="1:13">
      <c r="A190" s="107"/>
      <c r="B190" s="75"/>
      <c r="C190" s="109">
        <v>0</v>
      </c>
      <c r="D190" s="80">
        <v>2024</v>
      </c>
      <c r="E190" s="77">
        <f t="shared" si="7"/>
        <v>145883</v>
      </c>
      <c r="F190" s="86">
        <v>0</v>
      </c>
      <c r="G190" s="77">
        <f>92062.1+60708.1+4523.4-11410.6</f>
        <v>145883</v>
      </c>
      <c r="H190" s="77">
        <v>0</v>
      </c>
      <c r="I190" s="77">
        <v>0</v>
      </c>
      <c r="J190" s="77">
        <v>0</v>
      </c>
      <c r="K190" s="80"/>
      <c r="L190" s="155"/>
      <c r="M190" s="143"/>
    </row>
    <row r="191" ht="17.45" customHeight="1" spans="1:13">
      <c r="A191" s="107"/>
      <c r="B191" s="75"/>
      <c r="C191" s="109">
        <v>0</v>
      </c>
      <c r="D191" s="80">
        <v>2025</v>
      </c>
      <c r="E191" s="77">
        <f t="shared" si="7"/>
        <v>207772.8</v>
      </c>
      <c r="F191" s="86">
        <v>0</v>
      </c>
      <c r="G191" s="77">
        <f>222151.8+62.5-14441.5</f>
        <v>207772.8</v>
      </c>
      <c r="H191" s="77">
        <v>0</v>
      </c>
      <c r="I191" s="77">
        <v>0</v>
      </c>
      <c r="J191" s="77">
        <v>0</v>
      </c>
      <c r="K191" s="80"/>
      <c r="L191" s="155"/>
      <c r="M191" s="143"/>
    </row>
    <row r="192" ht="17.45" customHeight="1" spans="1:13">
      <c r="A192" s="107"/>
      <c r="B192" s="75"/>
      <c r="C192" s="109"/>
      <c r="D192" s="80">
        <v>2026</v>
      </c>
      <c r="E192" s="77">
        <f t="shared" ref="E192" si="21">F192+G192+H192+J192</f>
        <v>281750.5</v>
      </c>
      <c r="F192" s="86">
        <v>0</v>
      </c>
      <c r="G192" s="77">
        <v>281750.5</v>
      </c>
      <c r="H192" s="77">
        <v>0</v>
      </c>
      <c r="I192" s="77">
        <v>0</v>
      </c>
      <c r="J192" s="77">
        <v>0</v>
      </c>
      <c r="K192" s="80"/>
      <c r="L192" s="155"/>
      <c r="M192" s="143"/>
    </row>
    <row r="193" ht="17.45" customHeight="1" spans="1:13">
      <c r="A193" s="107"/>
      <c r="B193" s="75"/>
      <c r="C193" s="109"/>
      <c r="D193" s="80">
        <v>2027</v>
      </c>
      <c r="E193" s="77">
        <f t="shared" si="7"/>
        <v>283350.9</v>
      </c>
      <c r="F193" s="86">
        <v>0</v>
      </c>
      <c r="G193" s="77">
        <f>265750.9+17600</f>
        <v>283350.9</v>
      </c>
      <c r="H193" s="77">
        <v>0</v>
      </c>
      <c r="I193" s="77">
        <v>0</v>
      </c>
      <c r="J193" s="77">
        <v>0</v>
      </c>
      <c r="K193" s="80"/>
      <c r="L193" s="155"/>
      <c r="M193" s="143"/>
    </row>
    <row r="194" ht="17.45" customHeight="1" spans="1:13">
      <c r="A194" s="107"/>
      <c r="B194" s="75"/>
      <c r="C194" s="109"/>
      <c r="D194" s="80">
        <v>2028</v>
      </c>
      <c r="E194" s="77">
        <f>F194+G194+H194+I194+J194</f>
        <v>291419.1</v>
      </c>
      <c r="F194" s="86">
        <v>0</v>
      </c>
      <c r="G194" s="77">
        <f>273819.1+17600</f>
        <v>291419.1</v>
      </c>
      <c r="H194" s="77">
        <v>0</v>
      </c>
      <c r="I194" s="77">
        <v>0</v>
      </c>
      <c r="J194" s="77">
        <v>0</v>
      </c>
      <c r="K194" s="80"/>
      <c r="L194" s="155"/>
      <c r="M194" s="143"/>
    </row>
    <row r="195" ht="17.45" customHeight="1" spans="1:13">
      <c r="A195" s="107" t="s">
        <v>179</v>
      </c>
      <c r="B195" s="75" t="s">
        <v>184</v>
      </c>
      <c r="C195" s="108">
        <v>0</v>
      </c>
      <c r="D195" s="76">
        <v>2018</v>
      </c>
      <c r="E195" s="77">
        <f t="shared" si="7"/>
        <v>0</v>
      </c>
      <c r="F195" s="77">
        <v>0</v>
      </c>
      <c r="G195" s="77">
        <v>0</v>
      </c>
      <c r="H195" s="77">
        <v>0</v>
      </c>
      <c r="I195" s="77">
        <v>0</v>
      </c>
      <c r="J195" s="77">
        <v>0</v>
      </c>
      <c r="K195" s="80"/>
      <c r="L195" s="155"/>
      <c r="M195" s="143"/>
    </row>
    <row r="196" ht="17.45" customHeight="1" spans="1:13">
      <c r="A196" s="107"/>
      <c r="B196" s="75"/>
      <c r="C196" s="108">
        <v>0</v>
      </c>
      <c r="D196" s="76">
        <v>2019</v>
      </c>
      <c r="E196" s="77">
        <f t="shared" ref="E196:E283" si="22">F196+G196+H196+J196</f>
        <v>9017.7</v>
      </c>
      <c r="F196" s="77">
        <v>0</v>
      </c>
      <c r="G196" s="77">
        <v>0</v>
      </c>
      <c r="H196" s="77">
        <v>9017.7</v>
      </c>
      <c r="I196" s="77">
        <v>0</v>
      </c>
      <c r="J196" s="77">
        <v>0</v>
      </c>
      <c r="K196" s="80"/>
      <c r="L196" s="155"/>
      <c r="M196" s="143"/>
    </row>
    <row r="197" ht="17.45" customHeight="1" spans="1:13">
      <c r="A197" s="107"/>
      <c r="B197" s="75"/>
      <c r="C197" s="108">
        <v>0</v>
      </c>
      <c r="D197" s="75">
        <v>2020</v>
      </c>
      <c r="E197" s="77">
        <f t="shared" si="22"/>
        <v>804.9</v>
      </c>
      <c r="F197" s="86">
        <v>0</v>
      </c>
      <c r="G197" s="77">
        <v>0</v>
      </c>
      <c r="H197" s="77">
        <v>804.9</v>
      </c>
      <c r="I197" s="77">
        <v>0</v>
      </c>
      <c r="J197" s="77">
        <v>0</v>
      </c>
      <c r="K197" s="80"/>
      <c r="L197" s="155"/>
      <c r="M197" s="143"/>
    </row>
    <row r="198" ht="17.45" customHeight="1" spans="1:13">
      <c r="A198" s="107"/>
      <c r="B198" s="75"/>
      <c r="C198" s="109">
        <v>0</v>
      </c>
      <c r="D198" s="75">
        <v>2021</v>
      </c>
      <c r="E198" s="77">
        <f t="shared" si="22"/>
        <v>0</v>
      </c>
      <c r="F198" s="86">
        <v>0</v>
      </c>
      <c r="G198" s="77">
        <v>0</v>
      </c>
      <c r="H198" s="77">
        <v>0</v>
      </c>
      <c r="I198" s="77">
        <v>0</v>
      </c>
      <c r="J198" s="77">
        <v>0</v>
      </c>
      <c r="K198" s="80"/>
      <c r="L198" s="155"/>
      <c r="M198" s="143"/>
    </row>
    <row r="199" ht="17.45" customHeight="1" spans="1:13">
      <c r="A199" s="107"/>
      <c r="B199" s="75"/>
      <c r="C199" s="109">
        <v>0</v>
      </c>
      <c r="D199" s="75">
        <v>2022</v>
      </c>
      <c r="E199" s="77">
        <f t="shared" si="22"/>
        <v>0</v>
      </c>
      <c r="F199" s="86">
        <v>0</v>
      </c>
      <c r="G199" s="77">
        <v>0</v>
      </c>
      <c r="H199" s="77">
        <v>0</v>
      </c>
      <c r="I199" s="77">
        <v>0</v>
      </c>
      <c r="J199" s="77">
        <v>0</v>
      </c>
      <c r="K199" s="80"/>
      <c r="L199" s="155"/>
      <c r="M199" s="143"/>
    </row>
    <row r="200" ht="17.45" customHeight="1" spans="1:13">
      <c r="A200" s="107"/>
      <c r="B200" s="75"/>
      <c r="C200" s="109">
        <v>0</v>
      </c>
      <c r="D200" s="75">
        <v>2023</v>
      </c>
      <c r="E200" s="77">
        <f t="shared" si="22"/>
        <v>0</v>
      </c>
      <c r="F200" s="86">
        <v>0</v>
      </c>
      <c r="G200" s="77">
        <v>0</v>
      </c>
      <c r="H200" s="77">
        <v>0</v>
      </c>
      <c r="I200" s="77">
        <v>0</v>
      </c>
      <c r="J200" s="77">
        <v>0</v>
      </c>
      <c r="K200" s="80"/>
      <c r="L200" s="155"/>
      <c r="M200" s="143"/>
    </row>
    <row r="201" ht="17.45" customHeight="1" spans="1:13">
      <c r="A201" s="107"/>
      <c r="B201" s="75"/>
      <c r="C201" s="109">
        <v>0</v>
      </c>
      <c r="D201" s="75">
        <v>2024</v>
      </c>
      <c r="E201" s="77">
        <f t="shared" si="22"/>
        <v>0</v>
      </c>
      <c r="F201" s="86">
        <v>0</v>
      </c>
      <c r="G201" s="77">
        <v>0</v>
      </c>
      <c r="H201" s="77">
        <v>0</v>
      </c>
      <c r="I201" s="77">
        <v>0</v>
      </c>
      <c r="J201" s="77">
        <v>0</v>
      </c>
      <c r="K201" s="80"/>
      <c r="L201" s="155"/>
      <c r="M201" s="143"/>
    </row>
    <row r="202" ht="17.45" customHeight="1" spans="1:13">
      <c r="A202" s="107"/>
      <c r="B202" s="75"/>
      <c r="C202" s="109">
        <v>0</v>
      </c>
      <c r="D202" s="75">
        <v>2025</v>
      </c>
      <c r="E202" s="77">
        <f t="shared" si="22"/>
        <v>0</v>
      </c>
      <c r="F202" s="86">
        <v>0</v>
      </c>
      <c r="G202" s="77">
        <v>0</v>
      </c>
      <c r="H202" s="77">
        <v>0</v>
      </c>
      <c r="I202" s="77">
        <v>0</v>
      </c>
      <c r="J202" s="77">
        <v>0</v>
      </c>
      <c r="K202" s="80"/>
      <c r="L202" s="155"/>
      <c r="M202" s="143"/>
    </row>
    <row r="203" ht="17.45" customHeight="1" spans="1:13">
      <c r="A203" s="107"/>
      <c r="B203" s="75"/>
      <c r="C203" s="109"/>
      <c r="D203" s="75">
        <v>2026</v>
      </c>
      <c r="E203" s="77">
        <f t="shared" ref="E203" si="23">F203+G203+H203+J203</f>
        <v>0</v>
      </c>
      <c r="F203" s="86">
        <v>0</v>
      </c>
      <c r="G203" s="77">
        <v>0</v>
      </c>
      <c r="H203" s="77">
        <v>0</v>
      </c>
      <c r="I203" s="77">
        <v>0</v>
      </c>
      <c r="J203" s="77">
        <v>0</v>
      </c>
      <c r="K203" s="80"/>
      <c r="L203" s="155"/>
      <c r="M203" s="143"/>
    </row>
    <row r="204" ht="17.45" customHeight="1" spans="1:13">
      <c r="A204" s="107"/>
      <c r="B204" s="75"/>
      <c r="C204" s="109"/>
      <c r="D204" s="75">
        <v>2027</v>
      </c>
      <c r="E204" s="77">
        <f t="shared" si="22"/>
        <v>0</v>
      </c>
      <c r="F204" s="86">
        <v>0</v>
      </c>
      <c r="G204" s="77">
        <v>0</v>
      </c>
      <c r="H204" s="77">
        <v>0</v>
      </c>
      <c r="I204" s="77">
        <v>0</v>
      </c>
      <c r="J204" s="77">
        <v>0</v>
      </c>
      <c r="K204" s="80"/>
      <c r="L204" s="155"/>
      <c r="M204" s="143"/>
    </row>
    <row r="205" ht="17.45" customHeight="1" spans="1:13">
      <c r="A205" s="107"/>
      <c r="B205" s="75"/>
      <c r="C205" s="109"/>
      <c r="D205" s="75">
        <v>2028</v>
      </c>
      <c r="E205" s="77">
        <f>F205+G205+H205+I205+J205</f>
        <v>0</v>
      </c>
      <c r="F205" s="86">
        <v>0</v>
      </c>
      <c r="G205" s="77">
        <v>0</v>
      </c>
      <c r="H205" s="77">
        <v>0</v>
      </c>
      <c r="I205" s="77">
        <v>0</v>
      </c>
      <c r="J205" s="77">
        <v>0</v>
      </c>
      <c r="K205" s="80"/>
      <c r="L205" s="155"/>
      <c r="M205" s="143"/>
    </row>
    <row r="206" ht="17.45" customHeight="1" spans="1:13">
      <c r="A206" s="107"/>
      <c r="B206" s="75" t="s">
        <v>185</v>
      </c>
      <c r="C206" s="108">
        <v>0</v>
      </c>
      <c r="D206" s="76">
        <v>2018</v>
      </c>
      <c r="E206" s="77">
        <f t="shared" si="22"/>
        <v>0</v>
      </c>
      <c r="F206" s="77">
        <v>0</v>
      </c>
      <c r="G206" s="77">
        <v>0</v>
      </c>
      <c r="H206" s="77">
        <v>0</v>
      </c>
      <c r="I206" s="77">
        <v>0</v>
      </c>
      <c r="J206" s="77">
        <v>0</v>
      </c>
      <c r="K206" s="80"/>
      <c r="L206" s="155"/>
      <c r="M206" s="143"/>
    </row>
    <row r="207" ht="17.45" customHeight="1" spans="1:13">
      <c r="A207" s="107"/>
      <c r="B207" s="75"/>
      <c r="C207" s="108">
        <v>0</v>
      </c>
      <c r="D207" s="76">
        <v>2019</v>
      </c>
      <c r="E207" s="77">
        <f t="shared" si="22"/>
        <v>0</v>
      </c>
      <c r="F207" s="77">
        <v>0</v>
      </c>
      <c r="G207" s="77">
        <v>0</v>
      </c>
      <c r="H207" s="77">
        <v>0</v>
      </c>
      <c r="I207" s="77">
        <v>0</v>
      </c>
      <c r="J207" s="77">
        <v>0</v>
      </c>
      <c r="K207" s="80"/>
      <c r="L207" s="155"/>
      <c r="M207" s="143"/>
    </row>
    <row r="208" ht="17.45" customHeight="1" spans="1:13">
      <c r="A208" s="107"/>
      <c r="B208" s="75"/>
      <c r="C208" s="108">
        <v>0</v>
      </c>
      <c r="D208" s="80">
        <v>2020</v>
      </c>
      <c r="E208" s="77">
        <f t="shared" si="22"/>
        <v>3186.3</v>
      </c>
      <c r="F208" s="86">
        <v>0</v>
      </c>
      <c r="G208" s="77">
        <v>0</v>
      </c>
      <c r="H208" s="77">
        <v>3186.3</v>
      </c>
      <c r="I208" s="77">
        <v>0</v>
      </c>
      <c r="J208" s="77">
        <v>0</v>
      </c>
      <c r="K208" s="80"/>
      <c r="L208" s="155"/>
      <c r="M208" s="143"/>
    </row>
    <row r="209" ht="17.45" customHeight="1" spans="1:13">
      <c r="A209" s="107"/>
      <c r="B209" s="75"/>
      <c r="C209" s="109">
        <v>0</v>
      </c>
      <c r="D209" s="80">
        <v>2021</v>
      </c>
      <c r="E209" s="77">
        <f t="shared" si="22"/>
        <v>8358.6</v>
      </c>
      <c r="F209" s="86">
        <v>0</v>
      </c>
      <c r="G209" s="77">
        <v>0</v>
      </c>
      <c r="H209" s="77">
        <v>8358.6</v>
      </c>
      <c r="I209" s="77">
        <v>0</v>
      </c>
      <c r="J209" s="77">
        <v>0</v>
      </c>
      <c r="K209" s="80"/>
      <c r="L209" s="155"/>
      <c r="M209" s="143"/>
    </row>
    <row r="210" ht="17.45" customHeight="1" spans="1:13">
      <c r="A210" s="107"/>
      <c r="B210" s="75"/>
      <c r="C210" s="109">
        <v>0</v>
      </c>
      <c r="D210" s="80">
        <v>2022</v>
      </c>
      <c r="E210" s="77">
        <f t="shared" si="22"/>
        <v>2735.7</v>
      </c>
      <c r="F210" s="86">
        <v>0</v>
      </c>
      <c r="G210" s="77">
        <v>0</v>
      </c>
      <c r="H210" s="77">
        <f>2000+689.2+46.5</f>
        <v>2735.7</v>
      </c>
      <c r="I210" s="77">
        <v>0</v>
      </c>
      <c r="J210" s="77">
        <v>0</v>
      </c>
      <c r="K210" s="80"/>
      <c r="L210" s="155"/>
      <c r="M210" s="143"/>
    </row>
    <row r="211" ht="17.45" customHeight="1" spans="1:13">
      <c r="A211" s="107"/>
      <c r="B211" s="75"/>
      <c r="C211" s="109">
        <v>0</v>
      </c>
      <c r="D211" s="80">
        <v>2023</v>
      </c>
      <c r="E211" s="77">
        <f t="shared" si="22"/>
        <v>2897.5</v>
      </c>
      <c r="F211" s="86">
        <v>0</v>
      </c>
      <c r="G211" s="77">
        <v>0</v>
      </c>
      <c r="H211" s="77">
        <f>2135.4+762.1</f>
        <v>2897.5</v>
      </c>
      <c r="I211" s="77">
        <v>0</v>
      </c>
      <c r="J211" s="77">
        <v>0</v>
      </c>
      <c r="K211" s="80"/>
      <c r="L211" s="155"/>
      <c r="M211" s="143"/>
    </row>
    <row r="212" ht="17.45" customHeight="1" spans="1:13">
      <c r="A212" s="107"/>
      <c r="B212" s="75"/>
      <c r="C212" s="109">
        <v>0</v>
      </c>
      <c r="D212" s="80">
        <v>2024</v>
      </c>
      <c r="E212" s="77">
        <f t="shared" si="22"/>
        <v>5416</v>
      </c>
      <c r="F212" s="86">
        <v>0</v>
      </c>
      <c r="G212" s="77">
        <v>0</v>
      </c>
      <c r="H212" s="87">
        <f>738.8+160+640+175.7+532+56+150+200+1879.1+219.3+610.1+38+17</f>
        <v>5416</v>
      </c>
      <c r="I212" s="77">
        <v>0</v>
      </c>
      <c r="J212" s="77">
        <v>0</v>
      </c>
      <c r="K212" s="80"/>
      <c r="L212" s="155"/>
      <c r="M212" s="143"/>
    </row>
    <row r="213" ht="17.45" customHeight="1" spans="1:13">
      <c r="A213" s="107"/>
      <c r="B213" s="75"/>
      <c r="C213" s="109">
        <v>0</v>
      </c>
      <c r="D213" s="80">
        <v>2025</v>
      </c>
      <c r="E213" s="77">
        <f t="shared" si="22"/>
        <v>15722.2</v>
      </c>
      <c r="F213" s="86">
        <v>0</v>
      </c>
      <c r="G213" s="77">
        <v>0</v>
      </c>
      <c r="H213" s="87">
        <f>10863.1+1189.4+1510.6+123.5+192+32.5+7.2+1803.9</f>
        <v>15722.2</v>
      </c>
      <c r="I213" s="77">
        <v>0</v>
      </c>
      <c r="J213" s="77">
        <v>0</v>
      </c>
      <c r="K213" s="80"/>
      <c r="L213" s="155"/>
      <c r="M213" s="143"/>
    </row>
    <row r="214" ht="17.45" customHeight="1" spans="1:13">
      <c r="A214" s="107"/>
      <c r="B214" s="75"/>
      <c r="C214" s="109"/>
      <c r="D214" s="80">
        <v>2026</v>
      </c>
      <c r="E214" s="77">
        <f t="shared" ref="E214" si="24">F214+G214+H214+J214</f>
        <v>0</v>
      </c>
      <c r="F214" s="86">
        <v>0</v>
      </c>
      <c r="G214" s="77">
        <v>0</v>
      </c>
      <c r="H214" s="87">
        <v>0</v>
      </c>
      <c r="I214" s="77">
        <v>0</v>
      </c>
      <c r="J214" s="77">
        <v>0</v>
      </c>
      <c r="K214" s="80"/>
      <c r="L214" s="155"/>
      <c r="M214" s="143"/>
    </row>
    <row r="215" ht="17.45" customHeight="1" spans="1:13">
      <c r="A215" s="107"/>
      <c r="B215" s="75"/>
      <c r="C215" s="109"/>
      <c r="D215" s="80">
        <v>2027</v>
      </c>
      <c r="E215" s="77">
        <f t="shared" si="22"/>
        <v>0</v>
      </c>
      <c r="F215" s="86">
        <v>0</v>
      </c>
      <c r="G215" s="77">
        <v>0</v>
      </c>
      <c r="H215" s="87">
        <v>0</v>
      </c>
      <c r="I215" s="77">
        <v>0</v>
      </c>
      <c r="J215" s="77">
        <v>0</v>
      </c>
      <c r="K215" s="80"/>
      <c r="L215" s="155"/>
      <c r="M215" s="143"/>
    </row>
    <row r="216" ht="17.45" customHeight="1" spans="1:13">
      <c r="A216" s="107"/>
      <c r="B216" s="75"/>
      <c r="C216" s="109"/>
      <c r="D216" s="80">
        <v>2028</v>
      </c>
      <c r="E216" s="77">
        <f>F216+G216+H216+I216+J216</f>
        <v>5427.3</v>
      </c>
      <c r="F216" s="86">
        <v>0</v>
      </c>
      <c r="G216" s="77">
        <v>0</v>
      </c>
      <c r="H216" s="87">
        <v>5427.3</v>
      </c>
      <c r="I216" s="77">
        <v>0</v>
      </c>
      <c r="J216" s="77">
        <v>0</v>
      </c>
      <c r="K216" s="80"/>
      <c r="L216" s="155"/>
      <c r="M216" s="143"/>
    </row>
    <row r="217" ht="17.45" customHeight="1" spans="1:13">
      <c r="A217" s="107"/>
      <c r="B217" s="75" t="s">
        <v>186</v>
      </c>
      <c r="C217" s="108">
        <v>0</v>
      </c>
      <c r="D217" s="76">
        <v>2018</v>
      </c>
      <c r="E217" s="77">
        <f t="shared" si="22"/>
        <v>11257.6</v>
      </c>
      <c r="F217" s="77">
        <v>0</v>
      </c>
      <c r="G217" s="77">
        <v>0</v>
      </c>
      <c r="H217" s="77">
        <v>11257.6</v>
      </c>
      <c r="I217" s="77">
        <v>0</v>
      </c>
      <c r="J217" s="77">
        <v>0</v>
      </c>
      <c r="K217" s="80"/>
      <c r="L217" s="155"/>
      <c r="M217" s="143"/>
    </row>
    <row r="218" ht="17.45" customHeight="1" spans="1:13">
      <c r="A218" s="107"/>
      <c r="B218" s="75"/>
      <c r="C218" s="108">
        <v>0</v>
      </c>
      <c r="D218" s="76">
        <v>2019</v>
      </c>
      <c r="E218" s="77">
        <f t="shared" si="22"/>
        <v>12701.7</v>
      </c>
      <c r="F218" s="77">
        <v>0</v>
      </c>
      <c r="G218" s="77">
        <v>0</v>
      </c>
      <c r="H218" s="77">
        <v>12701.7</v>
      </c>
      <c r="I218" s="77">
        <v>0</v>
      </c>
      <c r="J218" s="77">
        <v>0</v>
      </c>
      <c r="K218" s="80"/>
      <c r="L218" s="155"/>
      <c r="M218" s="143"/>
    </row>
    <row r="219" ht="17.45" customHeight="1" spans="1:13">
      <c r="A219" s="107"/>
      <c r="B219" s="75"/>
      <c r="C219" s="108">
        <v>0</v>
      </c>
      <c r="D219" s="80">
        <v>2020</v>
      </c>
      <c r="E219" s="77">
        <f t="shared" si="22"/>
        <v>10967.7</v>
      </c>
      <c r="F219" s="86">
        <v>0</v>
      </c>
      <c r="G219" s="77">
        <v>0</v>
      </c>
      <c r="H219" s="77">
        <v>10967.7</v>
      </c>
      <c r="I219" s="77">
        <v>0</v>
      </c>
      <c r="J219" s="77">
        <v>0</v>
      </c>
      <c r="K219" s="80"/>
      <c r="L219" s="155"/>
      <c r="M219" s="143"/>
    </row>
    <row r="220" ht="17.45" customHeight="1" spans="1:13">
      <c r="A220" s="107"/>
      <c r="B220" s="75"/>
      <c r="C220" s="109">
        <v>0</v>
      </c>
      <c r="D220" s="80">
        <v>2021</v>
      </c>
      <c r="E220" s="77">
        <f t="shared" si="22"/>
        <v>15710.1</v>
      </c>
      <c r="F220" s="86">
        <v>0</v>
      </c>
      <c r="G220" s="77">
        <v>0</v>
      </c>
      <c r="H220" s="77">
        <v>15710.1</v>
      </c>
      <c r="I220" s="77">
        <v>0</v>
      </c>
      <c r="J220" s="77">
        <v>0</v>
      </c>
      <c r="K220" s="80"/>
      <c r="L220" s="155"/>
      <c r="M220" s="143"/>
    </row>
    <row r="221" ht="17.45" customHeight="1" spans="1:13">
      <c r="A221" s="107"/>
      <c r="B221" s="75"/>
      <c r="C221" s="109">
        <v>0</v>
      </c>
      <c r="D221" s="80">
        <v>2022</v>
      </c>
      <c r="E221" s="77">
        <f t="shared" si="22"/>
        <v>8463.1</v>
      </c>
      <c r="F221" s="86">
        <v>0</v>
      </c>
      <c r="G221" s="77">
        <v>0</v>
      </c>
      <c r="H221" s="77">
        <f>7614.9+1163+350+0.1-664.9</f>
        <v>8463.1</v>
      </c>
      <c r="I221" s="77">
        <v>0</v>
      </c>
      <c r="J221" s="77">
        <v>0</v>
      </c>
      <c r="K221" s="80"/>
      <c r="L221" s="155"/>
      <c r="M221" s="143"/>
    </row>
    <row r="222" ht="17.45" customHeight="1" spans="1:13">
      <c r="A222" s="107"/>
      <c r="B222" s="75"/>
      <c r="C222" s="109">
        <v>0</v>
      </c>
      <c r="D222" s="80">
        <v>2023</v>
      </c>
      <c r="E222" s="77">
        <f t="shared" si="22"/>
        <v>13758.4</v>
      </c>
      <c r="F222" s="86">
        <v>0</v>
      </c>
      <c r="G222" s="77">
        <v>0</v>
      </c>
      <c r="H222" s="77">
        <f>6521+2544.7-10+244.9-5+1391.8+3233.1-122.1-40</f>
        <v>13758.4</v>
      </c>
      <c r="I222" s="77">
        <v>0</v>
      </c>
      <c r="J222" s="77">
        <v>0</v>
      </c>
      <c r="K222" s="80"/>
      <c r="L222" s="155"/>
      <c r="M222" s="143"/>
    </row>
    <row r="223" ht="17.45" customHeight="1" spans="1:13">
      <c r="A223" s="107"/>
      <c r="B223" s="75"/>
      <c r="C223" s="109">
        <v>0</v>
      </c>
      <c r="D223" s="80">
        <v>2024</v>
      </c>
      <c r="E223" s="77">
        <f t="shared" si="22"/>
        <v>17688.5</v>
      </c>
      <c r="F223" s="86">
        <v>0</v>
      </c>
      <c r="G223" s="77">
        <v>0</v>
      </c>
      <c r="H223" s="87">
        <f>15455.9-55.5+2518.5-53.4-27-150</f>
        <v>17688.5</v>
      </c>
      <c r="I223" s="77">
        <v>0</v>
      </c>
      <c r="J223" s="77">
        <v>0</v>
      </c>
      <c r="K223" s="80"/>
      <c r="L223" s="155"/>
      <c r="M223" s="143"/>
    </row>
    <row r="224" ht="17.45" customHeight="1" spans="1:13">
      <c r="A224" s="107"/>
      <c r="B224" s="75"/>
      <c r="C224" s="109">
        <v>0</v>
      </c>
      <c r="D224" s="80">
        <v>2025</v>
      </c>
      <c r="E224" s="77">
        <f t="shared" si="22"/>
        <v>21337.8</v>
      </c>
      <c r="F224" s="86">
        <v>0</v>
      </c>
      <c r="G224" s="77">
        <v>0</v>
      </c>
      <c r="H224" s="87">
        <f>19330-194.4+1384.3+729.9+70+18</f>
        <v>21337.8</v>
      </c>
      <c r="I224" s="77">
        <v>0</v>
      </c>
      <c r="J224" s="77">
        <v>0</v>
      </c>
      <c r="K224" s="80"/>
      <c r="L224" s="155"/>
      <c r="M224" s="143"/>
    </row>
    <row r="225" ht="17.45" customHeight="1" spans="1:13">
      <c r="A225" s="107"/>
      <c r="B225" s="75"/>
      <c r="C225" s="109"/>
      <c r="D225" s="80">
        <v>2026</v>
      </c>
      <c r="E225" s="77">
        <f t="shared" ref="E225" si="25">F225+G225+H225+J225</f>
        <v>20103.2</v>
      </c>
      <c r="F225" s="86">
        <v>0</v>
      </c>
      <c r="G225" s="77">
        <v>0</v>
      </c>
      <c r="H225" s="87">
        <f>20103.2</f>
        <v>20103.2</v>
      </c>
      <c r="I225" s="77">
        <v>0</v>
      </c>
      <c r="J225" s="77">
        <v>0</v>
      </c>
      <c r="K225" s="80"/>
      <c r="L225" s="155"/>
      <c r="M225" s="143"/>
    </row>
    <row r="226" ht="17.45" customHeight="1" spans="1:13">
      <c r="A226" s="107"/>
      <c r="B226" s="75"/>
      <c r="C226" s="109"/>
      <c r="D226" s="80">
        <v>2027</v>
      </c>
      <c r="E226" s="77">
        <f t="shared" si="22"/>
        <v>20907.3</v>
      </c>
      <c r="F226" s="86">
        <v>0</v>
      </c>
      <c r="G226" s="77">
        <v>0</v>
      </c>
      <c r="H226" s="87">
        <f>20907.3</f>
        <v>20907.3</v>
      </c>
      <c r="I226" s="77">
        <v>0</v>
      </c>
      <c r="J226" s="77">
        <v>0</v>
      </c>
      <c r="K226" s="80"/>
      <c r="L226" s="155"/>
      <c r="M226" s="143"/>
    </row>
    <row r="227" s="23" customFormat="1" ht="17.45" customHeight="1" spans="1:13">
      <c r="A227" s="107"/>
      <c r="B227" s="75"/>
      <c r="C227" s="109"/>
      <c r="D227" s="80">
        <v>2028</v>
      </c>
      <c r="E227" s="77">
        <f>F227+G227+H227+I227+J227</f>
        <v>20907.3</v>
      </c>
      <c r="F227" s="86">
        <v>0</v>
      </c>
      <c r="G227" s="77">
        <v>0</v>
      </c>
      <c r="H227" s="87">
        <f>20907.3</f>
        <v>20907.3</v>
      </c>
      <c r="I227" s="77">
        <v>0</v>
      </c>
      <c r="J227" s="77">
        <v>0</v>
      </c>
      <c r="K227" s="80"/>
      <c r="L227" s="155"/>
      <c r="M227" s="194"/>
    </row>
    <row r="228" ht="17.45" customHeight="1" spans="1:13">
      <c r="A228" s="107"/>
      <c r="B228" s="75" t="s">
        <v>187</v>
      </c>
      <c r="C228" s="180">
        <v>0</v>
      </c>
      <c r="D228" s="181">
        <v>2018</v>
      </c>
      <c r="E228" s="88">
        <f t="shared" si="22"/>
        <v>187.3</v>
      </c>
      <c r="F228" s="88">
        <v>0</v>
      </c>
      <c r="G228" s="88">
        <v>0</v>
      </c>
      <c r="H228" s="88">
        <v>187.3</v>
      </c>
      <c r="I228" s="88">
        <v>0</v>
      </c>
      <c r="J228" s="88">
        <v>0</v>
      </c>
      <c r="K228" s="80"/>
      <c r="L228" s="155"/>
      <c r="M228" s="143"/>
    </row>
    <row r="229" ht="17.45" customHeight="1" spans="1:13">
      <c r="A229" s="107"/>
      <c r="B229" s="75"/>
      <c r="C229" s="108">
        <v>0</v>
      </c>
      <c r="D229" s="76">
        <v>2019</v>
      </c>
      <c r="E229" s="77">
        <f t="shared" si="22"/>
        <v>193</v>
      </c>
      <c r="F229" s="77">
        <v>0</v>
      </c>
      <c r="G229" s="77">
        <v>0</v>
      </c>
      <c r="H229" s="77">
        <v>193</v>
      </c>
      <c r="I229" s="77">
        <v>0</v>
      </c>
      <c r="J229" s="77">
        <v>0</v>
      </c>
      <c r="K229" s="80"/>
      <c r="L229" s="155"/>
      <c r="M229" s="143"/>
    </row>
    <row r="230" ht="17.45" customHeight="1" spans="1:13">
      <c r="A230" s="107"/>
      <c r="B230" s="75"/>
      <c r="C230" s="108">
        <v>0</v>
      </c>
      <c r="D230" s="80">
        <v>2020</v>
      </c>
      <c r="E230" s="77">
        <f t="shared" si="22"/>
        <v>153</v>
      </c>
      <c r="F230" s="86">
        <v>0</v>
      </c>
      <c r="G230" s="77">
        <v>0</v>
      </c>
      <c r="H230" s="77">
        <v>153</v>
      </c>
      <c r="I230" s="77">
        <v>0</v>
      </c>
      <c r="J230" s="77">
        <v>0</v>
      </c>
      <c r="K230" s="80"/>
      <c r="L230" s="155"/>
      <c r="M230" s="143"/>
    </row>
    <row r="231" ht="17.45" customHeight="1" spans="1:13">
      <c r="A231" s="107"/>
      <c r="B231" s="75"/>
      <c r="C231" s="109">
        <v>0</v>
      </c>
      <c r="D231" s="80">
        <v>2021</v>
      </c>
      <c r="E231" s="77">
        <f t="shared" si="22"/>
        <v>277.3</v>
      </c>
      <c r="F231" s="86">
        <v>0</v>
      </c>
      <c r="G231" s="77">
        <v>0</v>
      </c>
      <c r="H231" s="77">
        <v>277.3</v>
      </c>
      <c r="I231" s="77">
        <v>0</v>
      </c>
      <c r="J231" s="77">
        <v>0</v>
      </c>
      <c r="K231" s="80"/>
      <c r="L231" s="155"/>
      <c r="M231" s="143"/>
    </row>
    <row r="232" ht="17.45" customHeight="1" spans="1:13">
      <c r="A232" s="107"/>
      <c r="B232" s="75"/>
      <c r="C232" s="109">
        <v>0</v>
      </c>
      <c r="D232" s="80">
        <v>2022</v>
      </c>
      <c r="E232" s="77">
        <f t="shared" si="22"/>
        <v>406</v>
      </c>
      <c r="F232" s="86">
        <v>0</v>
      </c>
      <c r="G232" s="77">
        <v>0</v>
      </c>
      <c r="H232" s="77">
        <f>336+70</f>
        <v>406</v>
      </c>
      <c r="I232" s="77">
        <v>0</v>
      </c>
      <c r="J232" s="77">
        <v>0</v>
      </c>
      <c r="K232" s="80"/>
      <c r="L232" s="155"/>
      <c r="M232" s="143"/>
    </row>
    <row r="233" ht="17.45" customHeight="1" spans="1:13">
      <c r="A233" s="107"/>
      <c r="B233" s="75"/>
      <c r="C233" s="109">
        <v>0</v>
      </c>
      <c r="D233" s="80">
        <v>2023</v>
      </c>
      <c r="E233" s="77">
        <f t="shared" si="22"/>
        <v>378.3</v>
      </c>
      <c r="F233" s="86">
        <v>0</v>
      </c>
      <c r="G233" s="77">
        <v>0</v>
      </c>
      <c r="H233" s="77">
        <f>289+39.3+10+40</f>
        <v>378.3</v>
      </c>
      <c r="I233" s="77">
        <v>0</v>
      </c>
      <c r="J233" s="77">
        <v>0</v>
      </c>
      <c r="K233" s="80"/>
      <c r="L233" s="155"/>
      <c r="M233" s="143"/>
    </row>
    <row r="234" ht="17.45" customHeight="1" spans="1:13">
      <c r="A234" s="107"/>
      <c r="B234" s="75"/>
      <c r="C234" s="109">
        <v>0</v>
      </c>
      <c r="D234" s="80">
        <v>2024</v>
      </c>
      <c r="E234" s="77">
        <f t="shared" si="22"/>
        <v>536.2</v>
      </c>
      <c r="F234" s="86">
        <v>0</v>
      </c>
      <c r="G234" s="77">
        <v>0</v>
      </c>
      <c r="H234" s="87">
        <f>536.2+38-38</f>
        <v>536.2</v>
      </c>
      <c r="I234" s="77">
        <v>0</v>
      </c>
      <c r="J234" s="77">
        <v>0</v>
      </c>
      <c r="K234" s="80"/>
      <c r="L234" s="155"/>
      <c r="M234" s="143"/>
    </row>
    <row r="235" ht="17.45" customHeight="1" spans="1:13">
      <c r="A235" s="107"/>
      <c r="B235" s="75"/>
      <c r="C235" s="109">
        <v>0</v>
      </c>
      <c r="D235" s="80">
        <v>2025</v>
      </c>
      <c r="E235" s="77">
        <f t="shared" si="22"/>
        <v>704.7</v>
      </c>
      <c r="F235" s="86">
        <v>0</v>
      </c>
      <c r="G235" s="77">
        <v>0</v>
      </c>
      <c r="H235" s="87">
        <f>603.7+101</f>
        <v>704.7</v>
      </c>
      <c r="I235" s="77">
        <v>0</v>
      </c>
      <c r="J235" s="77">
        <v>0</v>
      </c>
      <c r="K235" s="80"/>
      <c r="L235" s="155"/>
      <c r="M235" s="143"/>
    </row>
    <row r="236" ht="17.45" customHeight="1" spans="1:13">
      <c r="A236" s="107"/>
      <c r="B236" s="75"/>
      <c r="C236" s="109"/>
      <c r="D236" s="80">
        <v>2026</v>
      </c>
      <c r="E236" s="77">
        <f t="shared" ref="E236" si="26">F236+G236+H236+J236</f>
        <v>775.2</v>
      </c>
      <c r="F236" s="86">
        <v>0</v>
      </c>
      <c r="G236" s="77">
        <v>0</v>
      </c>
      <c r="H236" s="87">
        <v>775.2</v>
      </c>
      <c r="I236" s="77">
        <v>0</v>
      </c>
      <c r="J236" s="77">
        <v>0</v>
      </c>
      <c r="K236" s="80"/>
      <c r="L236" s="155"/>
      <c r="M236" s="143"/>
    </row>
    <row r="237" ht="17.45" customHeight="1" spans="1:13">
      <c r="A237" s="107"/>
      <c r="B237" s="75"/>
      <c r="C237" s="109"/>
      <c r="D237" s="80">
        <v>2027</v>
      </c>
      <c r="E237" s="77">
        <f t="shared" si="22"/>
        <v>806.2</v>
      </c>
      <c r="F237" s="86">
        <v>0</v>
      </c>
      <c r="G237" s="77">
        <v>0</v>
      </c>
      <c r="H237" s="87">
        <f>806.2</f>
        <v>806.2</v>
      </c>
      <c r="I237" s="77">
        <v>0</v>
      </c>
      <c r="J237" s="77">
        <v>0</v>
      </c>
      <c r="K237" s="80"/>
      <c r="L237" s="155"/>
      <c r="M237" s="143"/>
    </row>
    <row r="238" ht="17.45" customHeight="1" spans="1:13">
      <c r="A238" s="107"/>
      <c r="B238" s="75"/>
      <c r="C238" s="109"/>
      <c r="D238" s="80">
        <v>2028</v>
      </c>
      <c r="E238" s="77">
        <f>F238+G238+I238+H238+J238</f>
        <v>775.2</v>
      </c>
      <c r="F238" s="86">
        <v>0</v>
      </c>
      <c r="G238" s="77">
        <v>0</v>
      </c>
      <c r="H238" s="87">
        <v>775.2</v>
      </c>
      <c r="I238" s="77">
        <v>0</v>
      </c>
      <c r="J238" s="77">
        <v>0</v>
      </c>
      <c r="K238" s="80"/>
      <c r="L238" s="155"/>
      <c r="M238" s="143"/>
    </row>
    <row r="239" ht="17.45" customHeight="1" spans="1:13">
      <c r="A239" s="107"/>
      <c r="B239" s="75" t="s">
        <v>188</v>
      </c>
      <c r="C239" s="108">
        <v>0</v>
      </c>
      <c r="D239" s="76">
        <v>2018</v>
      </c>
      <c r="E239" s="77">
        <f t="shared" si="22"/>
        <v>50</v>
      </c>
      <c r="F239" s="77">
        <v>0</v>
      </c>
      <c r="G239" s="77">
        <v>0</v>
      </c>
      <c r="H239" s="77">
        <v>50</v>
      </c>
      <c r="I239" s="77">
        <v>0</v>
      </c>
      <c r="J239" s="77">
        <v>0</v>
      </c>
      <c r="K239" s="80"/>
      <c r="L239" s="155"/>
      <c r="M239" s="143"/>
    </row>
    <row r="240" ht="17.45" customHeight="1" spans="1:13">
      <c r="A240" s="107"/>
      <c r="B240" s="75"/>
      <c r="C240" s="108">
        <v>0</v>
      </c>
      <c r="D240" s="76">
        <v>2019</v>
      </c>
      <c r="E240" s="77">
        <f t="shared" si="22"/>
        <v>39</v>
      </c>
      <c r="F240" s="77">
        <v>0</v>
      </c>
      <c r="G240" s="77">
        <v>0</v>
      </c>
      <c r="H240" s="77">
        <v>39</v>
      </c>
      <c r="I240" s="77">
        <v>0</v>
      </c>
      <c r="J240" s="77">
        <v>0</v>
      </c>
      <c r="K240" s="80"/>
      <c r="L240" s="155"/>
      <c r="M240" s="143"/>
    </row>
    <row r="241" ht="17.45" customHeight="1" spans="1:13">
      <c r="A241" s="107"/>
      <c r="B241" s="75"/>
      <c r="C241" s="108">
        <v>0</v>
      </c>
      <c r="D241" s="80">
        <v>2020</v>
      </c>
      <c r="E241" s="77">
        <f t="shared" si="22"/>
        <v>0</v>
      </c>
      <c r="F241" s="86">
        <v>0</v>
      </c>
      <c r="G241" s="77">
        <v>0</v>
      </c>
      <c r="H241" s="77">
        <v>0</v>
      </c>
      <c r="I241" s="77">
        <v>0</v>
      </c>
      <c r="J241" s="77">
        <v>0</v>
      </c>
      <c r="K241" s="80"/>
      <c r="L241" s="155"/>
      <c r="M241" s="143"/>
    </row>
    <row r="242" ht="17.45" customHeight="1" spans="1:13">
      <c r="A242" s="107"/>
      <c r="B242" s="75"/>
      <c r="C242" s="109">
        <v>0</v>
      </c>
      <c r="D242" s="80">
        <v>2021</v>
      </c>
      <c r="E242" s="77">
        <f t="shared" si="22"/>
        <v>0</v>
      </c>
      <c r="F242" s="86">
        <v>0</v>
      </c>
      <c r="G242" s="77">
        <v>0</v>
      </c>
      <c r="H242" s="77">
        <v>0</v>
      </c>
      <c r="I242" s="77">
        <v>0</v>
      </c>
      <c r="J242" s="77">
        <v>0</v>
      </c>
      <c r="K242" s="80"/>
      <c r="L242" s="155"/>
      <c r="M242" s="143"/>
    </row>
    <row r="243" ht="17.45" customHeight="1" spans="1:13">
      <c r="A243" s="107"/>
      <c r="B243" s="75"/>
      <c r="C243" s="109">
        <v>0</v>
      </c>
      <c r="D243" s="80">
        <v>2022</v>
      </c>
      <c r="E243" s="77">
        <f t="shared" si="22"/>
        <v>0</v>
      </c>
      <c r="F243" s="86">
        <v>0</v>
      </c>
      <c r="G243" s="77">
        <v>0</v>
      </c>
      <c r="H243" s="77">
        <v>0</v>
      </c>
      <c r="I243" s="77">
        <v>0</v>
      </c>
      <c r="J243" s="77">
        <v>0</v>
      </c>
      <c r="K243" s="80"/>
      <c r="L243" s="155"/>
      <c r="M243" s="143"/>
    </row>
    <row r="244" ht="17.45" customHeight="1" spans="1:13">
      <c r="A244" s="107"/>
      <c r="B244" s="75"/>
      <c r="C244" s="109">
        <v>0</v>
      </c>
      <c r="D244" s="80">
        <v>2023</v>
      </c>
      <c r="E244" s="77">
        <f t="shared" si="22"/>
        <v>0</v>
      </c>
      <c r="F244" s="86">
        <v>0</v>
      </c>
      <c r="G244" s="77">
        <v>0</v>
      </c>
      <c r="H244" s="77">
        <v>0</v>
      </c>
      <c r="I244" s="77">
        <v>0</v>
      </c>
      <c r="J244" s="77">
        <v>0</v>
      </c>
      <c r="K244" s="80"/>
      <c r="L244" s="155"/>
      <c r="M244" s="143"/>
    </row>
    <row r="245" ht="17.45" customHeight="1" spans="1:13">
      <c r="A245" s="107"/>
      <c r="B245" s="75"/>
      <c r="C245" s="109">
        <v>0</v>
      </c>
      <c r="D245" s="80">
        <v>2024</v>
      </c>
      <c r="E245" s="77">
        <f t="shared" si="22"/>
        <v>0</v>
      </c>
      <c r="F245" s="86">
        <v>0</v>
      </c>
      <c r="G245" s="77">
        <v>0</v>
      </c>
      <c r="H245" s="77">
        <v>0</v>
      </c>
      <c r="I245" s="77">
        <v>0</v>
      </c>
      <c r="J245" s="77">
        <v>0</v>
      </c>
      <c r="K245" s="80"/>
      <c r="L245" s="155"/>
      <c r="M245" s="143"/>
    </row>
    <row r="246" ht="17.45" customHeight="1" spans="1:13">
      <c r="A246" s="107"/>
      <c r="B246" s="75"/>
      <c r="C246" s="109">
        <v>0</v>
      </c>
      <c r="D246" s="80">
        <v>2025</v>
      </c>
      <c r="E246" s="77">
        <f t="shared" si="22"/>
        <v>0</v>
      </c>
      <c r="F246" s="86">
        <v>0</v>
      </c>
      <c r="G246" s="77">
        <v>0</v>
      </c>
      <c r="H246" s="77">
        <v>0</v>
      </c>
      <c r="I246" s="77">
        <v>0</v>
      </c>
      <c r="J246" s="77">
        <v>0</v>
      </c>
      <c r="K246" s="80"/>
      <c r="L246" s="155"/>
      <c r="M246" s="143"/>
    </row>
    <row r="247" ht="17.45" customHeight="1" spans="1:13">
      <c r="A247" s="107"/>
      <c r="B247" s="75"/>
      <c r="C247" s="109"/>
      <c r="D247" s="80">
        <v>2026</v>
      </c>
      <c r="E247" s="77">
        <f t="shared" ref="E247" si="27">F247+G247+H247+J247</f>
        <v>0</v>
      </c>
      <c r="F247" s="86">
        <v>0</v>
      </c>
      <c r="G247" s="77">
        <v>0</v>
      </c>
      <c r="H247" s="77">
        <v>0</v>
      </c>
      <c r="I247" s="77">
        <v>0</v>
      </c>
      <c r="J247" s="77">
        <v>0</v>
      </c>
      <c r="K247" s="80"/>
      <c r="L247" s="155"/>
      <c r="M247" s="143"/>
    </row>
    <row r="248" ht="17.45" customHeight="1" spans="1:13">
      <c r="A248" s="107"/>
      <c r="B248" s="75"/>
      <c r="C248" s="109"/>
      <c r="D248" s="80">
        <v>2027</v>
      </c>
      <c r="E248" s="77">
        <f t="shared" si="22"/>
        <v>0</v>
      </c>
      <c r="F248" s="86">
        <v>0</v>
      </c>
      <c r="G248" s="77">
        <v>0</v>
      </c>
      <c r="H248" s="77">
        <v>0</v>
      </c>
      <c r="I248" s="77">
        <v>0</v>
      </c>
      <c r="J248" s="77">
        <v>0</v>
      </c>
      <c r="K248" s="80"/>
      <c r="L248" s="155"/>
      <c r="M248" s="143"/>
    </row>
    <row r="249" ht="17.45" customHeight="1" spans="1:13">
      <c r="A249" s="107"/>
      <c r="B249" s="75"/>
      <c r="C249" s="109"/>
      <c r="D249" s="80">
        <v>2028</v>
      </c>
      <c r="E249" s="77">
        <f>F249+G249+H249+I249+J249</f>
        <v>0</v>
      </c>
      <c r="F249" s="86">
        <v>0</v>
      </c>
      <c r="G249" s="77">
        <v>0</v>
      </c>
      <c r="H249" s="77">
        <v>0</v>
      </c>
      <c r="I249" s="77">
        <v>0</v>
      </c>
      <c r="J249" s="77">
        <v>0</v>
      </c>
      <c r="K249" s="80"/>
      <c r="L249" s="155"/>
      <c r="M249" s="143"/>
    </row>
    <row r="250" ht="17.45" customHeight="1" spans="1:13">
      <c r="A250" s="107"/>
      <c r="B250" s="75" t="s">
        <v>189</v>
      </c>
      <c r="C250" s="108">
        <v>0</v>
      </c>
      <c r="D250" s="76">
        <v>2018</v>
      </c>
      <c r="E250" s="77">
        <f t="shared" si="22"/>
        <v>39824.9</v>
      </c>
      <c r="F250" s="77">
        <v>0</v>
      </c>
      <c r="G250" s="77">
        <v>0</v>
      </c>
      <c r="H250" s="77">
        <v>0</v>
      </c>
      <c r="I250" s="77">
        <v>0</v>
      </c>
      <c r="J250" s="77">
        <v>39824.9</v>
      </c>
      <c r="K250" s="80"/>
      <c r="L250" s="155"/>
      <c r="M250" s="143"/>
    </row>
    <row r="251" ht="17.45" customHeight="1" spans="1:13">
      <c r="A251" s="107"/>
      <c r="B251" s="75"/>
      <c r="C251" s="108">
        <v>0</v>
      </c>
      <c r="D251" s="76">
        <v>2019</v>
      </c>
      <c r="E251" s="77">
        <f t="shared" si="22"/>
        <v>39150</v>
      </c>
      <c r="F251" s="77">
        <v>0</v>
      </c>
      <c r="G251" s="77">
        <v>0</v>
      </c>
      <c r="H251" s="77">
        <v>0</v>
      </c>
      <c r="I251" s="77">
        <v>0</v>
      </c>
      <c r="J251" s="77">
        <v>39150</v>
      </c>
      <c r="K251" s="80"/>
      <c r="L251" s="155"/>
      <c r="M251" s="143"/>
    </row>
    <row r="252" ht="17.45" customHeight="1" spans="1:13">
      <c r="A252" s="107"/>
      <c r="B252" s="75"/>
      <c r="C252" s="108">
        <v>0</v>
      </c>
      <c r="D252" s="80">
        <v>2020</v>
      </c>
      <c r="E252" s="77">
        <f t="shared" si="22"/>
        <v>41017</v>
      </c>
      <c r="F252" s="86">
        <v>0</v>
      </c>
      <c r="G252" s="77">
        <v>0</v>
      </c>
      <c r="H252" s="77">
        <v>0</v>
      </c>
      <c r="I252" s="77">
        <v>0</v>
      </c>
      <c r="J252" s="77">
        <v>41017</v>
      </c>
      <c r="K252" s="80"/>
      <c r="L252" s="155"/>
      <c r="M252" s="143"/>
    </row>
    <row r="253" ht="17.45" customHeight="1" spans="1:13">
      <c r="A253" s="107"/>
      <c r="B253" s="75"/>
      <c r="C253" s="109">
        <v>0</v>
      </c>
      <c r="D253" s="80">
        <v>2021</v>
      </c>
      <c r="E253" s="77">
        <f t="shared" si="22"/>
        <v>22420</v>
      </c>
      <c r="F253" s="86">
        <v>0</v>
      </c>
      <c r="G253" s="77">
        <v>0</v>
      </c>
      <c r="H253" s="77">
        <v>0</v>
      </c>
      <c r="I253" s="77">
        <v>0</v>
      </c>
      <c r="J253" s="77">
        <v>22420</v>
      </c>
      <c r="K253" s="80"/>
      <c r="L253" s="155"/>
      <c r="M253" s="143"/>
    </row>
    <row r="254" ht="17.45" customHeight="1" spans="1:13">
      <c r="A254" s="107"/>
      <c r="B254" s="75"/>
      <c r="C254" s="109">
        <v>0</v>
      </c>
      <c r="D254" s="80">
        <v>2022</v>
      </c>
      <c r="E254" s="77">
        <f t="shared" si="22"/>
        <v>25420</v>
      </c>
      <c r="F254" s="86">
        <v>0</v>
      </c>
      <c r="G254" s="77">
        <v>0</v>
      </c>
      <c r="H254" s="77">
        <v>0</v>
      </c>
      <c r="I254" s="77">
        <v>0</v>
      </c>
      <c r="J254" s="77">
        <v>25420</v>
      </c>
      <c r="K254" s="80"/>
      <c r="L254" s="155"/>
      <c r="M254" s="143"/>
    </row>
    <row r="255" ht="17.45" customHeight="1" spans="1:13">
      <c r="A255" s="107"/>
      <c r="B255" s="75"/>
      <c r="C255" s="109">
        <v>0</v>
      </c>
      <c r="D255" s="80">
        <v>2023</v>
      </c>
      <c r="E255" s="77">
        <f t="shared" si="22"/>
        <v>27000</v>
      </c>
      <c r="F255" s="86">
        <v>0</v>
      </c>
      <c r="G255" s="77">
        <v>0</v>
      </c>
      <c r="H255" s="77">
        <v>0</v>
      </c>
      <c r="I255" s="77">
        <v>0</v>
      </c>
      <c r="J255" s="77">
        <f>25420+1580</f>
        <v>27000</v>
      </c>
      <c r="K255" s="80"/>
      <c r="L255" s="155"/>
      <c r="M255" s="143"/>
    </row>
    <row r="256" ht="17.45" customHeight="1" spans="1:13">
      <c r="A256" s="107"/>
      <c r="B256" s="75"/>
      <c r="C256" s="109">
        <v>0</v>
      </c>
      <c r="D256" s="80">
        <v>2024</v>
      </c>
      <c r="E256" s="77">
        <f t="shared" si="22"/>
        <v>47000</v>
      </c>
      <c r="F256" s="86">
        <v>0</v>
      </c>
      <c r="G256" s="77">
        <v>0</v>
      </c>
      <c r="H256" s="77">
        <v>0</v>
      </c>
      <c r="I256" s="77">
        <v>0</v>
      </c>
      <c r="J256" s="77">
        <v>47000</v>
      </c>
      <c r="K256" s="80"/>
      <c r="L256" s="155"/>
      <c r="M256" s="143"/>
    </row>
    <row r="257" ht="17.45" customHeight="1" spans="1:13">
      <c r="A257" s="107"/>
      <c r="B257" s="75"/>
      <c r="C257" s="109">
        <v>0</v>
      </c>
      <c r="D257" s="80">
        <v>2025</v>
      </c>
      <c r="E257" s="77">
        <f t="shared" si="22"/>
        <v>22753.2</v>
      </c>
      <c r="F257" s="86">
        <v>0</v>
      </c>
      <c r="G257" s="77">
        <v>0</v>
      </c>
      <c r="H257" s="77">
        <v>0</v>
      </c>
      <c r="I257" s="77">
        <v>0</v>
      </c>
      <c r="J257" s="77">
        <f>20500+2253.2</f>
        <v>22753.2</v>
      </c>
      <c r="K257" s="80"/>
      <c r="L257" s="155"/>
      <c r="M257" s="143"/>
    </row>
    <row r="258" ht="17.45" customHeight="1" spans="1:13">
      <c r="A258" s="107"/>
      <c r="B258" s="75"/>
      <c r="C258" s="109"/>
      <c r="D258" s="80">
        <v>2026</v>
      </c>
      <c r="E258" s="77">
        <f t="shared" ref="E258" si="28">F258+G258+H258+J258</f>
        <v>29625</v>
      </c>
      <c r="F258" s="86">
        <v>0</v>
      </c>
      <c r="G258" s="77">
        <v>0</v>
      </c>
      <c r="H258" s="77">
        <v>0</v>
      </c>
      <c r="I258" s="77">
        <v>0</v>
      </c>
      <c r="J258" s="77">
        <v>29625</v>
      </c>
      <c r="K258" s="80"/>
      <c r="L258" s="155"/>
      <c r="M258" s="143"/>
    </row>
    <row r="259" ht="17.45" customHeight="1" spans="1:13">
      <c r="A259" s="107"/>
      <c r="B259" s="75"/>
      <c r="C259" s="109"/>
      <c r="D259" s="80">
        <v>2027</v>
      </c>
      <c r="E259" s="77">
        <f t="shared" si="22"/>
        <v>29625</v>
      </c>
      <c r="F259" s="86">
        <v>0</v>
      </c>
      <c r="G259" s="77">
        <v>0</v>
      </c>
      <c r="H259" s="77">
        <v>0</v>
      </c>
      <c r="I259" s="77">
        <v>0</v>
      </c>
      <c r="J259" s="77">
        <v>29625</v>
      </c>
      <c r="K259" s="80"/>
      <c r="L259" s="155"/>
      <c r="M259" s="143"/>
    </row>
    <row r="260" ht="17.45" customHeight="1" spans="1:13">
      <c r="A260" s="107"/>
      <c r="B260" s="75"/>
      <c r="C260" s="109"/>
      <c r="D260" s="80">
        <v>2028</v>
      </c>
      <c r="E260" s="77">
        <f>F260+G260+H260+J260+I260</f>
        <v>29625</v>
      </c>
      <c r="F260" s="86">
        <v>0</v>
      </c>
      <c r="G260" s="77">
        <v>0</v>
      </c>
      <c r="H260" s="77">
        <v>0</v>
      </c>
      <c r="I260" s="77">
        <v>0</v>
      </c>
      <c r="J260" s="77">
        <v>29625</v>
      </c>
      <c r="K260" s="80"/>
      <c r="L260" s="155"/>
      <c r="M260" s="143"/>
    </row>
    <row r="261" ht="17.45" customHeight="1" spans="1:13">
      <c r="A261" s="205" t="s">
        <v>190</v>
      </c>
      <c r="B261" s="75" t="s">
        <v>191</v>
      </c>
      <c r="C261" s="108">
        <v>0</v>
      </c>
      <c r="D261" s="76">
        <v>2018</v>
      </c>
      <c r="E261" s="77">
        <f t="shared" si="22"/>
        <v>44244.2</v>
      </c>
      <c r="F261" s="77">
        <v>0</v>
      </c>
      <c r="G261" s="77">
        <v>0</v>
      </c>
      <c r="H261" s="77">
        <f>H272+H283+H310+H321+H332+H343</f>
        <v>44244.2</v>
      </c>
      <c r="I261" s="77">
        <v>0</v>
      </c>
      <c r="J261" s="77">
        <v>0</v>
      </c>
      <c r="K261" s="80" t="s">
        <v>192</v>
      </c>
      <c r="L261" s="155" t="s">
        <v>35</v>
      </c>
      <c r="M261" s="143"/>
    </row>
    <row r="262" ht="17.45" customHeight="1" spans="1:13">
      <c r="A262" s="206"/>
      <c r="B262" s="75"/>
      <c r="C262" s="108">
        <v>0</v>
      </c>
      <c r="D262" s="76">
        <v>2019</v>
      </c>
      <c r="E262" s="77">
        <f t="shared" si="22"/>
        <v>47609.9</v>
      </c>
      <c r="F262" s="77">
        <v>0</v>
      </c>
      <c r="G262" s="77">
        <v>0</v>
      </c>
      <c r="H262" s="77">
        <f>H273+H284+H311+H322+H333+H344</f>
        <v>47609.9</v>
      </c>
      <c r="I262" s="77">
        <v>0</v>
      </c>
      <c r="J262" s="77">
        <v>0</v>
      </c>
      <c r="K262" s="80"/>
      <c r="L262" s="155"/>
      <c r="M262" s="143"/>
    </row>
    <row r="263" ht="17.45" customHeight="1" spans="1:13">
      <c r="A263" s="206"/>
      <c r="B263" s="75"/>
      <c r="C263" s="108">
        <v>0</v>
      </c>
      <c r="D263" s="80">
        <v>2020</v>
      </c>
      <c r="E263" s="77">
        <f t="shared" si="22"/>
        <v>51076.5</v>
      </c>
      <c r="F263" s="86">
        <v>0</v>
      </c>
      <c r="G263" s="77">
        <v>0</v>
      </c>
      <c r="H263" s="77">
        <f>H274+H285+H312+H323+H334+H345</f>
        <v>51076.5</v>
      </c>
      <c r="I263" s="77">
        <v>0</v>
      </c>
      <c r="J263" s="77">
        <v>0</v>
      </c>
      <c r="K263" s="80"/>
      <c r="L263" s="155"/>
      <c r="M263" s="143"/>
    </row>
    <row r="264" ht="17.45" customHeight="1" spans="1:13">
      <c r="A264" s="206"/>
      <c r="B264" s="75"/>
      <c r="C264" s="109">
        <v>0</v>
      </c>
      <c r="D264" s="80">
        <v>2021</v>
      </c>
      <c r="E264" s="77">
        <f t="shared" si="22"/>
        <v>63313.9</v>
      </c>
      <c r="F264" s="86">
        <v>0</v>
      </c>
      <c r="G264" s="77">
        <v>0</v>
      </c>
      <c r="H264" s="77">
        <f>H275+H286+H313+H324+H335+H346</f>
        <v>63313.9</v>
      </c>
      <c r="I264" s="77">
        <v>0</v>
      </c>
      <c r="J264" s="77">
        <v>0</v>
      </c>
      <c r="K264" s="80"/>
      <c r="L264" s="155"/>
      <c r="M264" s="143"/>
    </row>
    <row r="265" ht="17.45" customHeight="1" spans="1:13">
      <c r="A265" s="206"/>
      <c r="B265" s="75"/>
      <c r="C265" s="109">
        <v>0</v>
      </c>
      <c r="D265" s="80">
        <v>2022</v>
      </c>
      <c r="E265" s="77">
        <f t="shared" si="22"/>
        <v>66304.4</v>
      </c>
      <c r="F265" s="86">
        <v>0</v>
      </c>
      <c r="G265" s="77">
        <v>0</v>
      </c>
      <c r="H265" s="77">
        <f t="shared" ref="H265:H270" si="29">H276+H314+H325+H336+H347</f>
        <v>66304.4</v>
      </c>
      <c r="I265" s="77">
        <v>0</v>
      </c>
      <c r="J265" s="77">
        <v>0</v>
      </c>
      <c r="K265" s="80"/>
      <c r="L265" s="155"/>
      <c r="M265" s="143"/>
    </row>
    <row r="266" ht="17.45" customHeight="1" spans="1:13">
      <c r="A266" s="206"/>
      <c r="B266" s="75"/>
      <c r="C266" s="109">
        <v>0</v>
      </c>
      <c r="D266" s="80">
        <v>2023</v>
      </c>
      <c r="E266" s="77">
        <f t="shared" si="22"/>
        <v>70480.8</v>
      </c>
      <c r="F266" s="86">
        <v>0</v>
      </c>
      <c r="G266" s="77">
        <v>0</v>
      </c>
      <c r="H266" s="77">
        <f t="shared" si="29"/>
        <v>70480.8</v>
      </c>
      <c r="I266" s="77">
        <v>0</v>
      </c>
      <c r="J266" s="77">
        <v>0</v>
      </c>
      <c r="K266" s="80"/>
      <c r="L266" s="155"/>
      <c r="M266" s="143"/>
    </row>
    <row r="267" ht="17.45" customHeight="1" spans="1:13">
      <c r="A267" s="206"/>
      <c r="B267" s="75"/>
      <c r="C267" s="109">
        <v>0</v>
      </c>
      <c r="D267" s="80">
        <v>2024</v>
      </c>
      <c r="E267" s="77">
        <f t="shared" si="22"/>
        <v>90143.6</v>
      </c>
      <c r="F267" s="86">
        <v>0</v>
      </c>
      <c r="G267" s="77">
        <v>0</v>
      </c>
      <c r="H267" s="77">
        <f t="shared" si="29"/>
        <v>90143.6</v>
      </c>
      <c r="I267" s="77">
        <v>0</v>
      </c>
      <c r="J267" s="77">
        <v>0</v>
      </c>
      <c r="K267" s="80"/>
      <c r="L267" s="155"/>
      <c r="M267" s="143"/>
    </row>
    <row r="268" ht="17.45" customHeight="1" spans="1:13">
      <c r="A268" s="206"/>
      <c r="B268" s="75"/>
      <c r="C268" s="109">
        <v>0</v>
      </c>
      <c r="D268" s="80">
        <v>2025</v>
      </c>
      <c r="E268" s="77">
        <f t="shared" si="22"/>
        <v>109222.7</v>
      </c>
      <c r="F268" s="86">
        <v>0</v>
      </c>
      <c r="G268" s="77">
        <v>0</v>
      </c>
      <c r="H268" s="77">
        <f t="shared" si="29"/>
        <v>109222.7</v>
      </c>
      <c r="I268" s="77">
        <v>0</v>
      </c>
      <c r="J268" s="77">
        <v>0</v>
      </c>
      <c r="K268" s="80"/>
      <c r="L268" s="155"/>
      <c r="M268" s="143"/>
    </row>
    <row r="269" ht="17.45" customHeight="1" spans="1:13">
      <c r="A269" s="206"/>
      <c r="B269" s="75"/>
      <c r="C269" s="109"/>
      <c r="D269" s="80">
        <v>2026</v>
      </c>
      <c r="E269" s="77">
        <f t="shared" ref="E269" si="30">F269+G269+H269+J269</f>
        <v>113459.3</v>
      </c>
      <c r="F269" s="86">
        <v>0</v>
      </c>
      <c r="G269" s="77">
        <v>0</v>
      </c>
      <c r="H269" s="77">
        <f t="shared" si="29"/>
        <v>113459.3</v>
      </c>
      <c r="I269" s="77">
        <v>0</v>
      </c>
      <c r="J269" s="77">
        <v>0</v>
      </c>
      <c r="K269" s="80"/>
      <c r="L269" s="155"/>
      <c r="M269" s="143"/>
    </row>
    <row r="270" ht="17.45" customHeight="1" spans="1:13">
      <c r="A270" s="206"/>
      <c r="B270" s="75"/>
      <c r="C270" s="109"/>
      <c r="D270" s="80">
        <v>2027</v>
      </c>
      <c r="E270" s="77">
        <f t="shared" si="22"/>
        <v>113711.8</v>
      </c>
      <c r="F270" s="86">
        <v>0</v>
      </c>
      <c r="G270" s="77">
        <v>0</v>
      </c>
      <c r="H270" s="77">
        <f t="shared" si="29"/>
        <v>113711.8</v>
      </c>
      <c r="I270" s="77">
        <v>0</v>
      </c>
      <c r="J270" s="77">
        <v>0</v>
      </c>
      <c r="K270" s="80"/>
      <c r="L270" s="155"/>
      <c r="M270" s="143"/>
    </row>
    <row r="271" ht="17.45" customHeight="1" spans="1:13">
      <c r="A271" s="206"/>
      <c r="B271" s="75"/>
      <c r="C271" s="109"/>
      <c r="D271" s="80">
        <v>2028</v>
      </c>
      <c r="E271" s="77">
        <f>F271+G271+H271+I271+J271</f>
        <v>118974.7</v>
      </c>
      <c r="F271" s="86">
        <v>0</v>
      </c>
      <c r="G271" s="77">
        <v>0</v>
      </c>
      <c r="H271" s="77">
        <f>H282+H293+H304+H320+H331+H342+H353</f>
        <v>118974.7</v>
      </c>
      <c r="I271" s="77">
        <v>0</v>
      </c>
      <c r="J271" s="77">
        <v>0</v>
      </c>
      <c r="K271" s="80"/>
      <c r="L271" s="155"/>
      <c r="M271" s="143"/>
    </row>
    <row r="272" ht="17.45" customHeight="1" spans="1:13">
      <c r="A272" s="206"/>
      <c r="B272" s="75" t="s">
        <v>193</v>
      </c>
      <c r="C272" s="75" t="e">
        <f>#REF!+#REF!+#REF!+#REF!+#REF!+#REF!+#REF!+#REF!</f>
        <v>#REF!</v>
      </c>
      <c r="D272" s="76">
        <v>2018</v>
      </c>
      <c r="E272" s="77">
        <f t="shared" si="22"/>
        <v>44244.2</v>
      </c>
      <c r="F272" s="77">
        <v>0</v>
      </c>
      <c r="G272" s="77">
        <v>0</v>
      </c>
      <c r="H272" s="77">
        <v>44244.2</v>
      </c>
      <c r="I272" s="77">
        <v>0</v>
      </c>
      <c r="J272" s="77">
        <v>0</v>
      </c>
      <c r="K272" s="80"/>
      <c r="L272" s="155"/>
      <c r="M272" s="143"/>
    </row>
    <row r="273" ht="17.45" customHeight="1" spans="1:13">
      <c r="A273" s="206"/>
      <c r="B273" s="75"/>
      <c r="C273" s="75"/>
      <c r="D273" s="76">
        <v>2019</v>
      </c>
      <c r="E273" s="77">
        <f t="shared" si="22"/>
        <v>47609.9</v>
      </c>
      <c r="F273" s="77">
        <v>0</v>
      </c>
      <c r="G273" s="77">
        <v>0</v>
      </c>
      <c r="H273" s="77">
        <v>47609.9</v>
      </c>
      <c r="I273" s="77">
        <v>0</v>
      </c>
      <c r="J273" s="77">
        <v>0</v>
      </c>
      <c r="K273" s="80"/>
      <c r="L273" s="155"/>
      <c r="M273" s="143"/>
    </row>
    <row r="274" ht="17.45" customHeight="1" spans="1:13">
      <c r="A274" s="206"/>
      <c r="B274" s="75"/>
      <c r="C274" s="75"/>
      <c r="D274" s="80">
        <v>2020</v>
      </c>
      <c r="E274" s="77">
        <f t="shared" si="22"/>
        <v>49767.7</v>
      </c>
      <c r="F274" s="86">
        <v>0</v>
      </c>
      <c r="G274" s="77">
        <v>0</v>
      </c>
      <c r="H274" s="77">
        <v>49767.7</v>
      </c>
      <c r="I274" s="77">
        <v>0</v>
      </c>
      <c r="J274" s="77">
        <v>0</v>
      </c>
      <c r="K274" s="80"/>
      <c r="L274" s="155"/>
      <c r="M274" s="143"/>
    </row>
    <row r="275" ht="17.45" customHeight="1" spans="1:13">
      <c r="A275" s="206"/>
      <c r="B275" s="75"/>
      <c r="C275" s="75"/>
      <c r="D275" s="80">
        <v>2021</v>
      </c>
      <c r="E275" s="77">
        <f t="shared" si="22"/>
        <v>49052.9</v>
      </c>
      <c r="F275" s="86">
        <v>0</v>
      </c>
      <c r="G275" s="77">
        <v>0</v>
      </c>
      <c r="H275" s="77">
        <v>49052.9</v>
      </c>
      <c r="I275" s="77">
        <v>0</v>
      </c>
      <c r="J275" s="77">
        <v>0</v>
      </c>
      <c r="K275" s="80"/>
      <c r="L275" s="155"/>
      <c r="M275" s="143"/>
    </row>
    <row r="276" ht="17.45" customHeight="1" spans="1:13">
      <c r="A276" s="206"/>
      <c r="B276" s="75"/>
      <c r="C276" s="75"/>
      <c r="D276" s="80">
        <v>2022</v>
      </c>
      <c r="E276" s="77">
        <f t="shared" si="22"/>
        <v>64392.5</v>
      </c>
      <c r="F276" s="86">
        <v>0</v>
      </c>
      <c r="G276" s="77">
        <v>0</v>
      </c>
      <c r="H276" s="77">
        <f>56918.6-671.6+240.5+H287+459.1+200.4-70-2412.3+1746.8</f>
        <v>64392.5</v>
      </c>
      <c r="I276" s="77">
        <v>0</v>
      </c>
      <c r="J276" s="77">
        <v>0</v>
      </c>
      <c r="K276" s="80"/>
      <c r="L276" s="155"/>
      <c r="M276" s="143"/>
    </row>
    <row r="277" ht="17.45" customHeight="1" spans="1:13">
      <c r="A277" s="206"/>
      <c r="B277" s="75"/>
      <c r="C277" s="75"/>
      <c r="D277" s="80">
        <v>2023</v>
      </c>
      <c r="E277" s="77">
        <f t="shared" si="22"/>
        <v>67615.6</v>
      </c>
      <c r="F277" s="86">
        <v>0</v>
      </c>
      <c r="G277" s="77">
        <v>0</v>
      </c>
      <c r="H277" s="77">
        <f>63201.8+H288+H299</f>
        <v>67615.6</v>
      </c>
      <c r="I277" s="77">
        <v>0</v>
      </c>
      <c r="J277" s="77">
        <v>0</v>
      </c>
      <c r="K277" s="80"/>
      <c r="L277" s="155"/>
      <c r="M277" s="143"/>
    </row>
    <row r="278" ht="17.45" customHeight="1" spans="1:13">
      <c r="A278" s="206"/>
      <c r="B278" s="75"/>
      <c r="C278" s="75"/>
      <c r="D278" s="80">
        <v>2024</v>
      </c>
      <c r="E278" s="77">
        <f t="shared" si="22"/>
        <v>86538.2</v>
      </c>
      <c r="F278" s="86">
        <v>0</v>
      </c>
      <c r="G278" s="77">
        <v>0</v>
      </c>
      <c r="H278" s="87">
        <f>67808.4+920+870.1+H305+5076.3+2125.8+593.2-593.2</f>
        <v>86538.2</v>
      </c>
      <c r="I278" s="77">
        <v>0</v>
      </c>
      <c r="J278" s="77">
        <v>0</v>
      </c>
      <c r="K278" s="80"/>
      <c r="L278" s="155"/>
      <c r="M278" s="143"/>
    </row>
    <row r="279" ht="17.45" customHeight="1" spans="1:13">
      <c r="A279" s="206"/>
      <c r="B279" s="75"/>
      <c r="C279" s="75"/>
      <c r="D279" s="80">
        <v>2025</v>
      </c>
      <c r="E279" s="77">
        <f t="shared" si="22"/>
        <v>106306</v>
      </c>
      <c r="F279" s="86">
        <v>0</v>
      </c>
      <c r="G279" s="77">
        <v>0</v>
      </c>
      <c r="H279" s="87">
        <f>52048.8+H306+31945.6+5949.8+5094+688.9-666.5+666.5+1957+100+900-1550+644.2+322+135.5</f>
        <v>106306</v>
      </c>
      <c r="I279" s="77">
        <v>0</v>
      </c>
      <c r="J279" s="77">
        <v>0</v>
      </c>
      <c r="K279" s="80"/>
      <c r="L279" s="155"/>
      <c r="M279" s="143"/>
    </row>
    <row r="280" ht="17.45" customHeight="1" spans="1:13">
      <c r="A280" s="206"/>
      <c r="B280" s="75"/>
      <c r="C280" s="75"/>
      <c r="D280" s="80">
        <v>2026</v>
      </c>
      <c r="E280" s="77">
        <f t="shared" ref="E280" si="31">F280+G280+H280+J280</f>
        <v>109786.5</v>
      </c>
      <c r="F280" s="86">
        <v>0</v>
      </c>
      <c r="G280" s="77">
        <v>0</v>
      </c>
      <c r="H280" s="87">
        <v>109786.5</v>
      </c>
      <c r="I280" s="77">
        <v>0</v>
      </c>
      <c r="J280" s="77">
        <v>0</v>
      </c>
      <c r="K280" s="80"/>
      <c r="L280" s="155"/>
      <c r="M280" s="143"/>
    </row>
    <row r="281" ht="17.45" customHeight="1" spans="1:13">
      <c r="A281" s="206"/>
      <c r="B281" s="75"/>
      <c r="C281" s="75"/>
      <c r="D281" s="80">
        <v>2027</v>
      </c>
      <c r="E281" s="77">
        <f t="shared" si="22"/>
        <v>110176.8</v>
      </c>
      <c r="F281" s="86">
        <v>0</v>
      </c>
      <c r="G281" s="77">
        <v>0</v>
      </c>
      <c r="H281" s="87">
        <v>110176.8</v>
      </c>
      <c r="I281" s="77">
        <v>0</v>
      </c>
      <c r="J281" s="77">
        <v>0</v>
      </c>
      <c r="K281" s="80"/>
      <c r="L281" s="155"/>
      <c r="M281" s="143"/>
    </row>
    <row r="282" s="23" customFormat="1" ht="17.45" customHeight="1" spans="1:13">
      <c r="A282" s="206"/>
      <c r="B282" s="75"/>
      <c r="C282" s="75"/>
      <c r="D282" s="80">
        <v>2028</v>
      </c>
      <c r="E282" s="77">
        <f>F282+G282+H282+I282+J282</f>
        <v>115054.7</v>
      </c>
      <c r="F282" s="86">
        <v>0</v>
      </c>
      <c r="G282" s="77">
        <v>0</v>
      </c>
      <c r="H282" s="87">
        <v>115054.7</v>
      </c>
      <c r="I282" s="77">
        <v>0</v>
      </c>
      <c r="J282" s="77">
        <v>0</v>
      </c>
      <c r="K282" s="80"/>
      <c r="L282" s="155"/>
      <c r="M282" s="194"/>
    </row>
    <row r="283" ht="17.45" customHeight="1" spans="1:13">
      <c r="A283" s="206"/>
      <c r="B283" s="75" t="s">
        <v>194</v>
      </c>
      <c r="C283" s="180">
        <v>0</v>
      </c>
      <c r="D283" s="181">
        <v>2018</v>
      </c>
      <c r="E283" s="88">
        <f t="shared" si="22"/>
        <v>0</v>
      </c>
      <c r="F283" s="88">
        <v>0</v>
      </c>
      <c r="G283" s="88">
        <v>0</v>
      </c>
      <c r="H283" s="88">
        <v>0</v>
      </c>
      <c r="I283" s="88">
        <v>0</v>
      </c>
      <c r="J283" s="88">
        <v>0</v>
      </c>
      <c r="K283" s="80"/>
      <c r="L283" s="155"/>
      <c r="M283" s="143"/>
    </row>
    <row r="284" ht="17.45" customHeight="1" spans="1:13">
      <c r="A284" s="206"/>
      <c r="B284" s="75"/>
      <c r="C284" s="108">
        <v>0</v>
      </c>
      <c r="D284" s="76">
        <v>2019</v>
      </c>
      <c r="E284" s="77">
        <f t="shared" ref="E284:E387" si="32">F284+G284+H284+J284</f>
        <v>0</v>
      </c>
      <c r="F284" s="77">
        <v>0</v>
      </c>
      <c r="G284" s="77">
        <v>0</v>
      </c>
      <c r="H284" s="77">
        <v>0</v>
      </c>
      <c r="I284" s="77">
        <v>0</v>
      </c>
      <c r="J284" s="77">
        <v>0</v>
      </c>
      <c r="K284" s="80"/>
      <c r="L284" s="155"/>
      <c r="M284" s="143"/>
    </row>
    <row r="285" ht="17.45" customHeight="1" spans="1:13">
      <c r="A285" s="206"/>
      <c r="B285" s="75"/>
      <c r="C285" s="108">
        <v>0</v>
      </c>
      <c r="D285" s="80">
        <v>2020</v>
      </c>
      <c r="E285" s="77">
        <f t="shared" si="32"/>
        <v>1304</v>
      </c>
      <c r="F285" s="86">
        <v>0</v>
      </c>
      <c r="G285" s="77">
        <v>0</v>
      </c>
      <c r="H285" s="77">
        <v>1304</v>
      </c>
      <c r="I285" s="77">
        <v>0</v>
      </c>
      <c r="J285" s="77">
        <v>0</v>
      </c>
      <c r="K285" s="80"/>
      <c r="L285" s="155"/>
      <c r="M285" s="143"/>
    </row>
    <row r="286" ht="17.45" customHeight="1" spans="1:13">
      <c r="A286" s="206"/>
      <c r="B286" s="75"/>
      <c r="C286" s="109">
        <v>0</v>
      </c>
      <c r="D286" s="80">
        <v>2021</v>
      </c>
      <c r="E286" s="77">
        <f t="shared" si="32"/>
        <v>8328.6</v>
      </c>
      <c r="F286" s="86">
        <v>0</v>
      </c>
      <c r="G286" s="77">
        <v>0</v>
      </c>
      <c r="H286" s="77">
        <v>8328.6</v>
      </c>
      <c r="I286" s="77">
        <v>0</v>
      </c>
      <c r="J286" s="77">
        <v>0</v>
      </c>
      <c r="K286" s="80"/>
      <c r="L286" s="155"/>
      <c r="M286" s="143"/>
    </row>
    <row r="287" ht="17.45" customHeight="1" spans="1:13">
      <c r="A287" s="206"/>
      <c r="B287" s="75"/>
      <c r="C287" s="109">
        <v>0</v>
      </c>
      <c r="D287" s="80">
        <v>2022</v>
      </c>
      <c r="E287" s="77">
        <f t="shared" si="32"/>
        <v>7981</v>
      </c>
      <c r="F287" s="86">
        <v>0</v>
      </c>
      <c r="G287" s="77">
        <v>0</v>
      </c>
      <c r="H287" s="77">
        <f>8640.5-459.1-200.4</f>
        <v>7981</v>
      </c>
      <c r="I287" s="77">
        <v>0</v>
      </c>
      <c r="J287" s="77">
        <v>0</v>
      </c>
      <c r="K287" s="80"/>
      <c r="L287" s="155"/>
      <c r="M287" s="143"/>
    </row>
    <row r="288" ht="17.45" customHeight="1" spans="1:13">
      <c r="A288" s="206"/>
      <c r="B288" s="75"/>
      <c r="C288" s="109">
        <v>0</v>
      </c>
      <c r="D288" s="80">
        <v>2023</v>
      </c>
      <c r="E288" s="77">
        <f t="shared" si="32"/>
        <v>882.8</v>
      </c>
      <c r="F288" s="86">
        <v>0</v>
      </c>
      <c r="G288" s="77">
        <v>0</v>
      </c>
      <c r="H288" s="77">
        <f>4413.8-H299</f>
        <v>882.8</v>
      </c>
      <c r="I288" s="77">
        <v>0</v>
      </c>
      <c r="J288" s="77">
        <v>0</v>
      </c>
      <c r="K288" s="80"/>
      <c r="L288" s="155"/>
      <c r="M288" s="143"/>
    </row>
    <row r="289" ht="17.45" customHeight="1" spans="1:13">
      <c r="A289" s="206"/>
      <c r="B289" s="75"/>
      <c r="C289" s="109">
        <v>0</v>
      </c>
      <c r="D289" s="80">
        <v>2024</v>
      </c>
      <c r="E289" s="77">
        <f t="shared" si="32"/>
        <v>0</v>
      </c>
      <c r="F289" s="86">
        <v>0</v>
      </c>
      <c r="G289" s="77">
        <v>0</v>
      </c>
      <c r="H289" s="87">
        <v>0</v>
      </c>
      <c r="I289" s="77">
        <v>0</v>
      </c>
      <c r="J289" s="77">
        <v>0</v>
      </c>
      <c r="K289" s="80"/>
      <c r="L289" s="155"/>
      <c r="M289" s="143"/>
    </row>
    <row r="290" ht="17.45" customHeight="1" spans="1:13">
      <c r="A290" s="206"/>
      <c r="B290" s="75"/>
      <c r="C290" s="109">
        <v>0</v>
      </c>
      <c r="D290" s="80">
        <v>2025</v>
      </c>
      <c r="E290" s="77">
        <f t="shared" si="32"/>
        <v>0</v>
      </c>
      <c r="F290" s="86">
        <v>0</v>
      </c>
      <c r="G290" s="77">
        <v>0</v>
      </c>
      <c r="H290" s="87">
        <v>0</v>
      </c>
      <c r="I290" s="77">
        <v>0</v>
      </c>
      <c r="J290" s="77">
        <v>0</v>
      </c>
      <c r="K290" s="80"/>
      <c r="L290" s="155"/>
      <c r="M290" s="143"/>
    </row>
    <row r="291" ht="17.45" customHeight="1" spans="1:13">
      <c r="A291" s="206"/>
      <c r="B291" s="75"/>
      <c r="C291" s="109"/>
      <c r="D291" s="80">
        <v>2026</v>
      </c>
      <c r="E291" s="77">
        <v>0</v>
      </c>
      <c r="F291" s="86">
        <v>0</v>
      </c>
      <c r="G291" s="77">
        <v>0</v>
      </c>
      <c r="H291" s="87">
        <v>0</v>
      </c>
      <c r="I291" s="77">
        <v>0</v>
      </c>
      <c r="J291" s="77">
        <v>0</v>
      </c>
      <c r="K291" s="80"/>
      <c r="L291" s="155"/>
      <c r="M291" s="143"/>
    </row>
    <row r="292" ht="17.45" customHeight="1" spans="1:13">
      <c r="A292" s="206"/>
      <c r="B292" s="75"/>
      <c r="C292" s="109"/>
      <c r="D292" s="80">
        <v>2027</v>
      </c>
      <c r="E292" s="77">
        <f>F292+G292+H292+J292</f>
        <v>0</v>
      </c>
      <c r="F292" s="86">
        <v>0</v>
      </c>
      <c r="G292" s="77">
        <v>0</v>
      </c>
      <c r="H292" s="87">
        <v>0</v>
      </c>
      <c r="I292" s="77">
        <v>0</v>
      </c>
      <c r="J292" s="77">
        <v>0</v>
      </c>
      <c r="K292" s="80"/>
      <c r="L292" s="155"/>
      <c r="M292" s="143"/>
    </row>
    <row r="293" ht="17.45" customHeight="1" spans="1:13">
      <c r="A293" s="206"/>
      <c r="B293" s="75"/>
      <c r="C293" s="109"/>
      <c r="D293" s="80">
        <v>2028</v>
      </c>
      <c r="E293" s="77">
        <f>F293+G293+H293+I293+J293</f>
        <v>0</v>
      </c>
      <c r="F293" s="86">
        <v>0</v>
      </c>
      <c r="G293" s="77">
        <v>0</v>
      </c>
      <c r="H293" s="87">
        <v>0</v>
      </c>
      <c r="I293" s="77">
        <v>0</v>
      </c>
      <c r="J293" s="77">
        <v>0</v>
      </c>
      <c r="K293" s="80"/>
      <c r="L293" s="155"/>
      <c r="M293" s="143"/>
    </row>
    <row r="294" ht="17.45" customHeight="1" spans="1:13">
      <c r="A294" s="206"/>
      <c r="B294" s="75" t="s">
        <v>195</v>
      </c>
      <c r="C294" s="108">
        <v>0</v>
      </c>
      <c r="D294" s="76">
        <v>2018</v>
      </c>
      <c r="E294" s="77">
        <f t="shared" ref="E294:E299" si="33">F294+G294+H294+J294</f>
        <v>0</v>
      </c>
      <c r="F294" s="77">
        <v>0</v>
      </c>
      <c r="G294" s="77">
        <v>0</v>
      </c>
      <c r="H294" s="77">
        <v>0</v>
      </c>
      <c r="I294" s="77">
        <v>0</v>
      </c>
      <c r="J294" s="77">
        <v>0</v>
      </c>
      <c r="K294" s="80"/>
      <c r="L294" s="155"/>
      <c r="M294" s="143"/>
    </row>
    <row r="295" ht="17.45" customHeight="1" spans="1:13">
      <c r="A295" s="206"/>
      <c r="B295" s="75"/>
      <c r="C295" s="108">
        <v>0</v>
      </c>
      <c r="D295" s="76">
        <v>2019</v>
      </c>
      <c r="E295" s="77">
        <f t="shared" si="33"/>
        <v>0</v>
      </c>
      <c r="F295" s="77">
        <v>0</v>
      </c>
      <c r="G295" s="77">
        <v>0</v>
      </c>
      <c r="H295" s="77">
        <v>0</v>
      </c>
      <c r="I295" s="77">
        <v>0</v>
      </c>
      <c r="J295" s="77">
        <v>0</v>
      </c>
      <c r="K295" s="80"/>
      <c r="L295" s="155"/>
      <c r="M295" s="143"/>
    </row>
    <row r="296" ht="17.45" customHeight="1" spans="1:13">
      <c r="A296" s="206"/>
      <c r="B296" s="75"/>
      <c r="C296" s="108">
        <v>0</v>
      </c>
      <c r="D296" s="80">
        <v>2020</v>
      </c>
      <c r="E296" s="77">
        <f t="shared" si="33"/>
        <v>0</v>
      </c>
      <c r="F296" s="86">
        <v>0</v>
      </c>
      <c r="G296" s="77">
        <v>0</v>
      </c>
      <c r="H296" s="77">
        <v>0</v>
      </c>
      <c r="I296" s="77">
        <v>0</v>
      </c>
      <c r="J296" s="77">
        <v>0</v>
      </c>
      <c r="K296" s="80"/>
      <c r="L296" s="155"/>
      <c r="M296" s="143"/>
    </row>
    <row r="297" ht="17.45" customHeight="1" spans="1:13">
      <c r="A297" s="206"/>
      <c r="B297" s="75"/>
      <c r="C297" s="109">
        <v>0</v>
      </c>
      <c r="D297" s="80">
        <v>2021</v>
      </c>
      <c r="E297" s="77">
        <f t="shared" si="33"/>
        <v>0</v>
      </c>
      <c r="F297" s="86">
        <v>0</v>
      </c>
      <c r="G297" s="77">
        <v>0</v>
      </c>
      <c r="H297" s="77">
        <v>0</v>
      </c>
      <c r="I297" s="77">
        <v>0</v>
      </c>
      <c r="J297" s="77">
        <v>0</v>
      </c>
      <c r="K297" s="80"/>
      <c r="L297" s="155"/>
      <c r="M297" s="143"/>
    </row>
    <row r="298" ht="17.45" customHeight="1" spans="1:13">
      <c r="A298" s="206"/>
      <c r="B298" s="75"/>
      <c r="C298" s="109">
        <v>0</v>
      </c>
      <c r="D298" s="80">
        <v>2022</v>
      </c>
      <c r="E298" s="77">
        <f t="shared" si="33"/>
        <v>0</v>
      </c>
      <c r="F298" s="86">
        <v>0</v>
      </c>
      <c r="G298" s="77">
        <v>0</v>
      </c>
      <c r="H298" s="77">
        <v>0</v>
      </c>
      <c r="I298" s="77">
        <v>0</v>
      </c>
      <c r="J298" s="77">
        <v>0</v>
      </c>
      <c r="K298" s="80"/>
      <c r="L298" s="155"/>
      <c r="M298" s="143"/>
    </row>
    <row r="299" ht="17.45" customHeight="1" spans="1:13">
      <c r="A299" s="206"/>
      <c r="B299" s="75"/>
      <c r="C299" s="109">
        <v>0</v>
      </c>
      <c r="D299" s="80">
        <v>2023</v>
      </c>
      <c r="E299" s="77">
        <f t="shared" si="33"/>
        <v>3531</v>
      </c>
      <c r="F299" s="86">
        <v>0</v>
      </c>
      <c r="G299" s="77">
        <v>0</v>
      </c>
      <c r="H299" s="77">
        <v>3531</v>
      </c>
      <c r="I299" s="77">
        <v>0</v>
      </c>
      <c r="J299" s="77">
        <v>0</v>
      </c>
      <c r="K299" s="80"/>
      <c r="L299" s="155"/>
      <c r="M299" s="143"/>
    </row>
    <row r="300" ht="17.45" customHeight="1" spans="1:13">
      <c r="A300" s="206"/>
      <c r="B300" s="75"/>
      <c r="C300" s="109">
        <v>0</v>
      </c>
      <c r="D300" s="80">
        <v>2024</v>
      </c>
      <c r="E300" s="77">
        <v>0</v>
      </c>
      <c r="F300" s="86">
        <v>0</v>
      </c>
      <c r="G300" s="77">
        <v>0</v>
      </c>
      <c r="H300" s="77">
        <v>0</v>
      </c>
      <c r="I300" s="77">
        <v>0</v>
      </c>
      <c r="J300" s="77">
        <v>0</v>
      </c>
      <c r="K300" s="80"/>
      <c r="L300" s="155"/>
      <c r="M300" s="143"/>
    </row>
    <row r="301" ht="17.45" customHeight="1" spans="1:13">
      <c r="A301" s="206"/>
      <c r="B301" s="75"/>
      <c r="C301" s="109">
        <v>0</v>
      </c>
      <c r="D301" s="80">
        <v>2025</v>
      </c>
      <c r="E301" s="77">
        <f t="shared" ref="E301:E308" si="34">F301+G301+H301+J301</f>
        <v>0</v>
      </c>
      <c r="F301" s="86">
        <v>0</v>
      </c>
      <c r="G301" s="77">
        <v>0</v>
      </c>
      <c r="H301" s="77">
        <v>0</v>
      </c>
      <c r="I301" s="77">
        <v>0</v>
      </c>
      <c r="J301" s="77">
        <v>0</v>
      </c>
      <c r="K301" s="80"/>
      <c r="L301" s="155"/>
      <c r="M301" s="143"/>
    </row>
    <row r="302" ht="17.45" customHeight="1" spans="1:13">
      <c r="A302" s="206"/>
      <c r="B302" s="75"/>
      <c r="C302" s="109"/>
      <c r="D302" s="80">
        <v>2026</v>
      </c>
      <c r="E302" s="77">
        <f t="shared" si="34"/>
        <v>0</v>
      </c>
      <c r="F302" s="86">
        <v>0</v>
      </c>
      <c r="G302" s="77">
        <v>0</v>
      </c>
      <c r="H302" s="77">
        <v>0</v>
      </c>
      <c r="I302" s="77">
        <v>0</v>
      </c>
      <c r="J302" s="77">
        <v>0</v>
      </c>
      <c r="K302" s="80"/>
      <c r="L302" s="155"/>
      <c r="M302" s="143"/>
    </row>
    <row r="303" ht="17.45" customHeight="1" spans="1:13">
      <c r="A303" s="206"/>
      <c r="B303" s="75"/>
      <c r="C303" s="109"/>
      <c r="D303" s="80">
        <v>2027</v>
      </c>
      <c r="E303" s="77">
        <f t="shared" si="34"/>
        <v>0</v>
      </c>
      <c r="F303" s="86">
        <v>0</v>
      </c>
      <c r="G303" s="77">
        <v>0</v>
      </c>
      <c r="H303" s="77">
        <v>0</v>
      </c>
      <c r="I303" s="77">
        <v>0</v>
      </c>
      <c r="J303" s="77">
        <v>0</v>
      </c>
      <c r="K303" s="80"/>
      <c r="L303" s="155"/>
      <c r="M303" s="143"/>
    </row>
    <row r="304" ht="17.45" customHeight="1" spans="1:13">
      <c r="A304" s="206"/>
      <c r="B304" s="75"/>
      <c r="C304" s="109"/>
      <c r="D304" s="80">
        <v>2028</v>
      </c>
      <c r="E304" s="77">
        <f>F304+G304+H304+I304+J304</f>
        <v>0</v>
      </c>
      <c r="F304" s="86">
        <v>0</v>
      </c>
      <c r="G304" s="77">
        <v>0</v>
      </c>
      <c r="H304" s="77">
        <v>0</v>
      </c>
      <c r="I304" s="77">
        <v>0</v>
      </c>
      <c r="J304" s="77">
        <v>0</v>
      </c>
      <c r="K304" s="80"/>
      <c r="L304" s="155"/>
      <c r="M304" s="143"/>
    </row>
    <row r="305" ht="17.45" customHeight="1" spans="1:13">
      <c r="A305" s="206"/>
      <c r="B305" s="75" t="s">
        <v>196</v>
      </c>
      <c r="C305" s="109"/>
      <c r="D305" s="80">
        <v>2024</v>
      </c>
      <c r="E305" s="77">
        <f t="shared" si="34"/>
        <v>9737.6</v>
      </c>
      <c r="F305" s="86">
        <v>0</v>
      </c>
      <c r="G305" s="77">
        <v>0</v>
      </c>
      <c r="H305" s="87">
        <f>7944.6+959.3+1703.8-870.1</f>
        <v>9737.6</v>
      </c>
      <c r="I305" s="77">
        <v>0</v>
      </c>
      <c r="J305" s="77">
        <v>0</v>
      </c>
      <c r="K305" s="80"/>
      <c r="L305" s="155"/>
      <c r="M305" s="143"/>
    </row>
    <row r="306" ht="17.45" customHeight="1" spans="1:13">
      <c r="A306" s="206"/>
      <c r="B306" s="75"/>
      <c r="C306" s="109"/>
      <c r="D306" s="80">
        <v>2025</v>
      </c>
      <c r="E306" s="77">
        <f t="shared" si="34"/>
        <v>8070.2</v>
      </c>
      <c r="F306" s="86">
        <v>0</v>
      </c>
      <c r="G306" s="77">
        <v>0</v>
      </c>
      <c r="H306" s="87">
        <f>6796.2+2774-900-600</f>
        <v>8070.2</v>
      </c>
      <c r="I306" s="77">
        <v>0</v>
      </c>
      <c r="J306" s="77">
        <v>0</v>
      </c>
      <c r="K306" s="80"/>
      <c r="L306" s="155"/>
      <c r="M306" s="143"/>
    </row>
    <row r="307" ht="17.45" customHeight="1" spans="1:13">
      <c r="A307" s="206"/>
      <c r="B307" s="75"/>
      <c r="C307" s="109"/>
      <c r="D307" s="80">
        <v>2026</v>
      </c>
      <c r="E307" s="77">
        <f t="shared" si="34"/>
        <v>16004.2</v>
      </c>
      <c r="F307" s="86">
        <v>0</v>
      </c>
      <c r="G307" s="77">
        <v>0</v>
      </c>
      <c r="H307" s="87">
        <f>12742.5+3261.7</f>
        <v>16004.2</v>
      </c>
      <c r="I307" s="77">
        <v>0</v>
      </c>
      <c r="J307" s="77">
        <v>0</v>
      </c>
      <c r="K307" s="80"/>
      <c r="L307" s="155"/>
      <c r="M307" s="143"/>
    </row>
    <row r="308" ht="17.45" customHeight="1" spans="1:13">
      <c r="A308" s="206"/>
      <c r="B308" s="75"/>
      <c r="C308" s="109"/>
      <c r="D308" s="207">
        <v>2027</v>
      </c>
      <c r="E308" s="77">
        <f t="shared" si="34"/>
        <v>17364.9</v>
      </c>
      <c r="F308" s="86">
        <v>0</v>
      </c>
      <c r="G308" s="77">
        <v>0</v>
      </c>
      <c r="H308" s="87">
        <f>13825.9+3539</f>
        <v>17364.9</v>
      </c>
      <c r="I308" s="77">
        <v>0</v>
      </c>
      <c r="J308" s="77">
        <v>0</v>
      </c>
      <c r="K308" s="80"/>
      <c r="L308" s="155"/>
      <c r="M308" s="143"/>
    </row>
    <row r="309" ht="17.45" customHeight="1" spans="1:13">
      <c r="A309" s="206"/>
      <c r="B309" s="75"/>
      <c r="C309" s="109"/>
      <c r="D309" s="207">
        <v>2028</v>
      </c>
      <c r="E309" s="77">
        <f>F309+G309+H309+I309+J309</f>
        <v>18835.8</v>
      </c>
      <c r="F309" s="86">
        <v>0</v>
      </c>
      <c r="G309" s="77">
        <v>0</v>
      </c>
      <c r="H309" s="87">
        <f>14933.4+3902.4</f>
        <v>18835.8</v>
      </c>
      <c r="I309" s="77">
        <v>0</v>
      </c>
      <c r="J309" s="77">
        <v>0</v>
      </c>
      <c r="K309" s="80"/>
      <c r="L309" s="155"/>
      <c r="M309" s="143"/>
    </row>
    <row r="310" ht="17.45" customHeight="1" spans="1:13">
      <c r="A310" s="206"/>
      <c r="B310" s="75" t="s">
        <v>197</v>
      </c>
      <c r="C310" s="108">
        <v>0</v>
      </c>
      <c r="D310" s="76">
        <v>2018</v>
      </c>
      <c r="E310" s="77">
        <f t="shared" si="32"/>
        <v>0</v>
      </c>
      <c r="F310" s="77">
        <v>0</v>
      </c>
      <c r="G310" s="77">
        <v>0</v>
      </c>
      <c r="H310" s="77">
        <v>0</v>
      </c>
      <c r="I310" s="77">
        <v>0</v>
      </c>
      <c r="J310" s="77">
        <v>0</v>
      </c>
      <c r="K310" s="80"/>
      <c r="L310" s="155"/>
      <c r="M310" s="143"/>
    </row>
    <row r="311" ht="17.45" customHeight="1" spans="1:13">
      <c r="A311" s="206"/>
      <c r="B311" s="75"/>
      <c r="C311" s="108">
        <v>0</v>
      </c>
      <c r="D311" s="76">
        <v>2019</v>
      </c>
      <c r="E311" s="77">
        <f t="shared" si="32"/>
        <v>0</v>
      </c>
      <c r="F311" s="77">
        <v>0</v>
      </c>
      <c r="G311" s="77">
        <v>0</v>
      </c>
      <c r="H311" s="77">
        <v>0</v>
      </c>
      <c r="I311" s="77">
        <v>0</v>
      </c>
      <c r="J311" s="77">
        <v>0</v>
      </c>
      <c r="K311" s="80"/>
      <c r="L311" s="155"/>
      <c r="M311" s="143"/>
    </row>
    <row r="312" ht="17.45" customHeight="1" spans="1:13">
      <c r="A312" s="206"/>
      <c r="B312" s="75"/>
      <c r="C312" s="108">
        <v>0</v>
      </c>
      <c r="D312" s="80">
        <v>2020</v>
      </c>
      <c r="E312" s="77">
        <f t="shared" si="32"/>
        <v>0</v>
      </c>
      <c r="F312" s="77">
        <v>0</v>
      </c>
      <c r="G312" s="77">
        <v>0</v>
      </c>
      <c r="H312" s="77">
        <v>0</v>
      </c>
      <c r="I312" s="77">
        <v>0</v>
      </c>
      <c r="J312" s="77">
        <v>0</v>
      </c>
      <c r="K312" s="80"/>
      <c r="L312" s="155"/>
      <c r="M312" s="143"/>
    </row>
    <row r="313" ht="17.45" customHeight="1" spans="1:13">
      <c r="A313" s="206"/>
      <c r="B313" s="75"/>
      <c r="C313" s="109">
        <v>0</v>
      </c>
      <c r="D313" s="80">
        <v>2021</v>
      </c>
      <c r="E313" s="77">
        <f t="shared" si="32"/>
        <v>0</v>
      </c>
      <c r="F313" s="77">
        <v>0</v>
      </c>
      <c r="G313" s="77">
        <v>0</v>
      </c>
      <c r="H313" s="77">
        <v>0</v>
      </c>
      <c r="I313" s="77">
        <v>0</v>
      </c>
      <c r="J313" s="77">
        <v>0</v>
      </c>
      <c r="K313" s="80"/>
      <c r="L313" s="155"/>
      <c r="M313" s="143"/>
    </row>
    <row r="314" ht="17.45" customHeight="1" spans="1:13">
      <c r="A314" s="206"/>
      <c r="B314" s="75"/>
      <c r="C314" s="109">
        <v>0</v>
      </c>
      <c r="D314" s="80">
        <v>2022</v>
      </c>
      <c r="E314" s="77">
        <f t="shared" si="32"/>
        <v>67.1</v>
      </c>
      <c r="F314" s="77">
        <v>0</v>
      </c>
      <c r="G314" s="77">
        <v>0</v>
      </c>
      <c r="H314" s="77">
        <v>67.1</v>
      </c>
      <c r="I314" s="77">
        <v>0</v>
      </c>
      <c r="J314" s="77">
        <v>0</v>
      </c>
      <c r="K314" s="80"/>
      <c r="L314" s="155"/>
      <c r="M314" s="143"/>
    </row>
    <row r="315" ht="17.45" customHeight="1" spans="1:13">
      <c r="A315" s="206"/>
      <c r="B315" s="75"/>
      <c r="C315" s="109">
        <v>0</v>
      </c>
      <c r="D315" s="80">
        <v>2023</v>
      </c>
      <c r="E315" s="77">
        <f t="shared" si="32"/>
        <v>150</v>
      </c>
      <c r="F315" s="77">
        <v>0</v>
      </c>
      <c r="G315" s="77">
        <v>0</v>
      </c>
      <c r="H315" s="77">
        <v>150</v>
      </c>
      <c r="I315" s="77">
        <v>0</v>
      </c>
      <c r="J315" s="77">
        <v>0</v>
      </c>
      <c r="K315" s="80"/>
      <c r="L315" s="155"/>
      <c r="M315" s="143"/>
    </row>
    <row r="316" ht="17.45" customHeight="1" spans="1:13">
      <c r="A316" s="206"/>
      <c r="B316" s="75"/>
      <c r="C316" s="109">
        <v>0</v>
      </c>
      <c r="D316" s="80">
        <v>2024</v>
      </c>
      <c r="E316" s="77">
        <f t="shared" si="32"/>
        <v>630.1</v>
      </c>
      <c r="F316" s="77">
        <v>0</v>
      </c>
      <c r="G316" s="77">
        <v>0</v>
      </c>
      <c r="H316" s="87">
        <f>299+80+401.1-150</f>
        <v>630.1</v>
      </c>
      <c r="I316" s="77">
        <v>0</v>
      </c>
      <c r="J316" s="77">
        <v>0</v>
      </c>
      <c r="K316" s="80"/>
      <c r="L316" s="155"/>
      <c r="M316" s="143"/>
    </row>
    <row r="317" ht="17.45" customHeight="1" spans="1:13">
      <c r="A317" s="206"/>
      <c r="B317" s="75"/>
      <c r="C317" s="109">
        <v>0</v>
      </c>
      <c r="D317" s="80">
        <v>2025</v>
      </c>
      <c r="E317" s="77">
        <f t="shared" si="32"/>
        <v>319.7</v>
      </c>
      <c r="F317" s="77">
        <v>0</v>
      </c>
      <c r="G317" s="77">
        <v>0</v>
      </c>
      <c r="H317" s="87">
        <v>319.7</v>
      </c>
      <c r="I317" s="77">
        <v>0</v>
      </c>
      <c r="J317" s="77">
        <v>0</v>
      </c>
      <c r="K317" s="80"/>
      <c r="L317" s="155"/>
      <c r="M317" s="143"/>
    </row>
    <row r="318" ht="17.45" customHeight="1" spans="1:13">
      <c r="A318" s="206"/>
      <c r="B318" s="75"/>
      <c r="C318" s="109"/>
      <c r="D318" s="80">
        <v>2026</v>
      </c>
      <c r="E318" s="77">
        <f t="shared" ref="E318" si="35">F318+G318+H318+J318</f>
        <v>256.6</v>
      </c>
      <c r="F318" s="77">
        <v>0</v>
      </c>
      <c r="G318" s="77">
        <v>0</v>
      </c>
      <c r="H318" s="87">
        <v>256.6</v>
      </c>
      <c r="I318" s="77">
        <v>0</v>
      </c>
      <c r="J318" s="77">
        <v>0</v>
      </c>
      <c r="K318" s="80"/>
      <c r="L318" s="155"/>
      <c r="M318" s="143"/>
    </row>
    <row r="319" ht="17.45" customHeight="1" spans="1:13">
      <c r="A319" s="206"/>
      <c r="B319" s="75"/>
      <c r="C319" s="109"/>
      <c r="D319" s="80">
        <v>2027</v>
      </c>
      <c r="E319" s="77">
        <f t="shared" si="32"/>
        <v>0</v>
      </c>
      <c r="F319" s="77">
        <v>0</v>
      </c>
      <c r="G319" s="77">
        <v>0</v>
      </c>
      <c r="H319" s="87">
        <v>0</v>
      </c>
      <c r="I319" s="77">
        <v>0</v>
      </c>
      <c r="J319" s="77">
        <v>0</v>
      </c>
      <c r="K319" s="80"/>
      <c r="L319" s="155"/>
      <c r="M319" s="143"/>
    </row>
    <row r="320" ht="17.45" customHeight="1" spans="1:13">
      <c r="A320" s="206"/>
      <c r="B320" s="75"/>
      <c r="C320" s="109"/>
      <c r="D320" s="80">
        <v>2028</v>
      </c>
      <c r="E320" s="77">
        <f>F320+G320+H320+I320+J320</f>
        <v>256.6</v>
      </c>
      <c r="F320" s="77">
        <v>0</v>
      </c>
      <c r="G320" s="77">
        <v>0</v>
      </c>
      <c r="H320" s="87">
        <v>256.6</v>
      </c>
      <c r="I320" s="77">
        <v>0</v>
      </c>
      <c r="J320" s="77">
        <v>0</v>
      </c>
      <c r="K320" s="80"/>
      <c r="L320" s="155"/>
      <c r="M320" s="143"/>
    </row>
    <row r="321" ht="17.45" customHeight="1" spans="1:13">
      <c r="A321" s="206"/>
      <c r="B321" s="75" t="s">
        <v>198</v>
      </c>
      <c r="C321" s="108">
        <v>0</v>
      </c>
      <c r="D321" s="76">
        <v>2018</v>
      </c>
      <c r="E321" s="77">
        <f t="shared" si="32"/>
        <v>0</v>
      </c>
      <c r="F321" s="77">
        <v>0</v>
      </c>
      <c r="G321" s="77">
        <v>0</v>
      </c>
      <c r="H321" s="77">
        <v>0</v>
      </c>
      <c r="I321" s="77">
        <v>0</v>
      </c>
      <c r="J321" s="77">
        <v>0</v>
      </c>
      <c r="K321" s="80"/>
      <c r="L321" s="155"/>
      <c r="M321" s="143"/>
    </row>
    <row r="322" ht="17.45" customHeight="1" spans="1:13">
      <c r="A322" s="206"/>
      <c r="B322" s="75"/>
      <c r="C322" s="108">
        <v>0</v>
      </c>
      <c r="D322" s="76">
        <v>2019</v>
      </c>
      <c r="E322" s="77">
        <f t="shared" si="32"/>
        <v>0</v>
      </c>
      <c r="F322" s="77">
        <v>0</v>
      </c>
      <c r="G322" s="77">
        <v>0</v>
      </c>
      <c r="H322" s="77">
        <v>0</v>
      </c>
      <c r="I322" s="77">
        <v>0</v>
      </c>
      <c r="J322" s="77">
        <v>0</v>
      </c>
      <c r="K322" s="80"/>
      <c r="L322" s="155"/>
      <c r="M322" s="143"/>
    </row>
    <row r="323" ht="17.45" customHeight="1" spans="1:13">
      <c r="A323" s="206"/>
      <c r="B323" s="75"/>
      <c r="C323" s="108">
        <v>0</v>
      </c>
      <c r="D323" s="80">
        <v>2020</v>
      </c>
      <c r="E323" s="77">
        <f t="shared" si="32"/>
        <v>0</v>
      </c>
      <c r="F323" s="86">
        <v>0</v>
      </c>
      <c r="G323" s="77">
        <v>0</v>
      </c>
      <c r="H323" s="77">
        <v>0</v>
      </c>
      <c r="I323" s="77">
        <v>0</v>
      </c>
      <c r="J323" s="77">
        <v>0</v>
      </c>
      <c r="K323" s="80"/>
      <c r="L323" s="155"/>
      <c r="M323" s="143"/>
    </row>
    <row r="324" ht="17.45" customHeight="1" spans="1:13">
      <c r="A324" s="206"/>
      <c r="B324" s="75"/>
      <c r="C324" s="109">
        <v>0</v>
      </c>
      <c r="D324" s="80">
        <v>2021</v>
      </c>
      <c r="E324" s="77">
        <f t="shared" si="32"/>
        <v>3187.5</v>
      </c>
      <c r="F324" s="86">
        <v>0</v>
      </c>
      <c r="G324" s="77">
        <v>0</v>
      </c>
      <c r="H324" s="77">
        <v>3187.5</v>
      </c>
      <c r="I324" s="77">
        <v>0</v>
      </c>
      <c r="J324" s="77">
        <v>0</v>
      </c>
      <c r="K324" s="80"/>
      <c r="L324" s="155"/>
      <c r="M324" s="143"/>
    </row>
    <row r="325" ht="17.45" customHeight="1" spans="1:13">
      <c r="A325" s="206"/>
      <c r="B325" s="75"/>
      <c r="C325" s="109">
        <v>0</v>
      </c>
      <c r="D325" s="80">
        <v>2022</v>
      </c>
      <c r="E325" s="77">
        <f t="shared" si="32"/>
        <v>0</v>
      </c>
      <c r="F325" s="86">
        <v>0</v>
      </c>
      <c r="G325" s="77">
        <v>0</v>
      </c>
      <c r="H325" s="77">
        <v>0</v>
      </c>
      <c r="I325" s="77">
        <v>0</v>
      </c>
      <c r="J325" s="77">
        <v>0</v>
      </c>
      <c r="K325" s="80"/>
      <c r="L325" s="155"/>
      <c r="M325" s="143"/>
    </row>
    <row r="326" ht="17.45" customHeight="1" spans="1:13">
      <c r="A326" s="206"/>
      <c r="B326" s="75"/>
      <c r="C326" s="109">
        <v>0</v>
      </c>
      <c r="D326" s="80">
        <v>2023</v>
      </c>
      <c r="E326" s="77">
        <f t="shared" si="32"/>
        <v>0</v>
      </c>
      <c r="F326" s="86">
        <v>0</v>
      </c>
      <c r="G326" s="77">
        <v>0</v>
      </c>
      <c r="H326" s="77">
        <v>0</v>
      </c>
      <c r="I326" s="77">
        <v>0</v>
      </c>
      <c r="J326" s="77">
        <v>0</v>
      </c>
      <c r="K326" s="80"/>
      <c r="L326" s="155"/>
      <c r="M326" s="143"/>
    </row>
    <row r="327" ht="17.45" customHeight="1" spans="1:13">
      <c r="A327" s="206"/>
      <c r="B327" s="75"/>
      <c r="C327" s="109">
        <v>0</v>
      </c>
      <c r="D327" s="80">
        <v>2024</v>
      </c>
      <c r="E327" s="77">
        <f t="shared" si="32"/>
        <v>0</v>
      </c>
      <c r="F327" s="86">
        <v>0</v>
      </c>
      <c r="G327" s="77">
        <v>0</v>
      </c>
      <c r="H327" s="77">
        <v>0</v>
      </c>
      <c r="I327" s="77">
        <v>0</v>
      </c>
      <c r="J327" s="77">
        <v>0</v>
      </c>
      <c r="K327" s="80"/>
      <c r="L327" s="155"/>
      <c r="M327" s="143"/>
    </row>
    <row r="328" ht="17.45" customHeight="1" spans="1:13">
      <c r="A328" s="206"/>
      <c r="B328" s="75"/>
      <c r="C328" s="109">
        <v>0</v>
      </c>
      <c r="D328" s="80">
        <v>2025</v>
      </c>
      <c r="E328" s="77">
        <f t="shared" si="32"/>
        <v>0</v>
      </c>
      <c r="F328" s="86">
        <v>0</v>
      </c>
      <c r="G328" s="77">
        <v>0</v>
      </c>
      <c r="H328" s="77">
        <v>0</v>
      </c>
      <c r="I328" s="77">
        <v>0</v>
      </c>
      <c r="J328" s="77">
        <v>0</v>
      </c>
      <c r="K328" s="80"/>
      <c r="L328" s="155"/>
      <c r="M328" s="143"/>
    </row>
    <row r="329" ht="17.45" customHeight="1" spans="1:13">
      <c r="A329" s="206"/>
      <c r="B329" s="75"/>
      <c r="C329" s="109"/>
      <c r="D329" s="80">
        <v>2026</v>
      </c>
      <c r="E329" s="77">
        <f t="shared" ref="E329" si="36">F329+G329+H329+J329</f>
        <v>0</v>
      </c>
      <c r="F329" s="86">
        <v>0</v>
      </c>
      <c r="G329" s="77">
        <v>0</v>
      </c>
      <c r="H329" s="77">
        <v>0</v>
      </c>
      <c r="I329" s="77">
        <v>0</v>
      </c>
      <c r="J329" s="77">
        <v>0</v>
      </c>
      <c r="K329" s="80"/>
      <c r="L329" s="155"/>
      <c r="M329" s="143"/>
    </row>
    <row r="330" ht="17.45" customHeight="1" spans="1:13">
      <c r="A330" s="206"/>
      <c r="B330" s="75"/>
      <c r="C330" s="109"/>
      <c r="D330" s="80">
        <v>2027</v>
      </c>
      <c r="E330" s="77">
        <f t="shared" si="32"/>
        <v>0</v>
      </c>
      <c r="F330" s="86">
        <v>0</v>
      </c>
      <c r="G330" s="77">
        <v>0</v>
      </c>
      <c r="H330" s="77">
        <v>0</v>
      </c>
      <c r="I330" s="77">
        <v>0</v>
      </c>
      <c r="J330" s="77">
        <v>0</v>
      </c>
      <c r="K330" s="80"/>
      <c r="L330" s="155"/>
      <c r="M330" s="143"/>
    </row>
    <row r="331" s="23" customFormat="1" ht="17.45" customHeight="1" spans="1:13">
      <c r="A331" s="206"/>
      <c r="B331" s="75"/>
      <c r="C331" s="109"/>
      <c r="D331" s="80">
        <v>2028</v>
      </c>
      <c r="E331" s="77">
        <f>F331+G331+H331+I331+J331</f>
        <v>0</v>
      </c>
      <c r="F331" s="86">
        <v>0</v>
      </c>
      <c r="G331" s="77">
        <v>0</v>
      </c>
      <c r="H331" s="77">
        <v>0</v>
      </c>
      <c r="I331" s="77">
        <v>0</v>
      </c>
      <c r="J331" s="77">
        <v>0</v>
      </c>
      <c r="K331" s="80"/>
      <c r="L331" s="155"/>
      <c r="M331" s="194"/>
    </row>
    <row r="332" ht="17.45" customHeight="1" spans="1:13">
      <c r="A332" s="206"/>
      <c r="B332" s="75" t="s">
        <v>199</v>
      </c>
      <c r="C332" s="180">
        <v>0</v>
      </c>
      <c r="D332" s="181">
        <v>2018</v>
      </c>
      <c r="E332" s="88">
        <f t="shared" si="32"/>
        <v>0</v>
      </c>
      <c r="F332" s="88">
        <v>0</v>
      </c>
      <c r="G332" s="88">
        <v>0</v>
      </c>
      <c r="H332" s="88">
        <v>0</v>
      </c>
      <c r="I332" s="88">
        <v>0</v>
      </c>
      <c r="J332" s="88">
        <v>0</v>
      </c>
      <c r="K332" s="80"/>
      <c r="L332" s="155"/>
      <c r="M332" s="143"/>
    </row>
    <row r="333" ht="17.45" customHeight="1" spans="1:13">
      <c r="A333" s="206"/>
      <c r="B333" s="75"/>
      <c r="C333" s="108">
        <v>0</v>
      </c>
      <c r="D333" s="76">
        <v>2019</v>
      </c>
      <c r="E333" s="77">
        <f t="shared" si="32"/>
        <v>0</v>
      </c>
      <c r="F333" s="77">
        <v>0</v>
      </c>
      <c r="G333" s="77">
        <v>0</v>
      </c>
      <c r="H333" s="77">
        <v>0</v>
      </c>
      <c r="I333" s="77">
        <v>0</v>
      </c>
      <c r="J333" s="77">
        <v>0</v>
      </c>
      <c r="K333" s="80"/>
      <c r="L333" s="155"/>
      <c r="M333" s="143"/>
    </row>
    <row r="334" ht="17.45" customHeight="1" spans="1:13">
      <c r="A334" s="206"/>
      <c r="B334" s="75"/>
      <c r="C334" s="108">
        <v>0</v>
      </c>
      <c r="D334" s="80">
        <v>2020</v>
      </c>
      <c r="E334" s="77">
        <f t="shared" si="32"/>
        <v>0</v>
      </c>
      <c r="F334" s="86">
        <v>0</v>
      </c>
      <c r="G334" s="77">
        <v>0</v>
      </c>
      <c r="H334" s="77">
        <v>0</v>
      </c>
      <c r="I334" s="77">
        <v>0</v>
      </c>
      <c r="J334" s="77">
        <v>0</v>
      </c>
      <c r="K334" s="80"/>
      <c r="L334" s="155"/>
      <c r="M334" s="143"/>
    </row>
    <row r="335" ht="17.45" customHeight="1" spans="1:13">
      <c r="A335" s="206"/>
      <c r="B335" s="75"/>
      <c r="C335" s="109">
        <v>0</v>
      </c>
      <c r="D335" s="80">
        <v>2021</v>
      </c>
      <c r="E335" s="77">
        <f t="shared" si="32"/>
        <v>2687.3</v>
      </c>
      <c r="F335" s="86">
        <v>0</v>
      </c>
      <c r="G335" s="77">
        <v>0</v>
      </c>
      <c r="H335" s="77">
        <v>2687.3</v>
      </c>
      <c r="I335" s="77">
        <v>0</v>
      </c>
      <c r="J335" s="77">
        <v>0</v>
      </c>
      <c r="K335" s="80"/>
      <c r="L335" s="155"/>
      <c r="M335" s="143"/>
    </row>
    <row r="336" ht="17.45" customHeight="1" spans="1:13">
      <c r="A336" s="206"/>
      <c r="B336" s="75"/>
      <c r="C336" s="109">
        <v>0</v>
      </c>
      <c r="D336" s="80">
        <v>2022</v>
      </c>
      <c r="E336" s="77">
        <f t="shared" si="32"/>
        <v>1794.8</v>
      </c>
      <c r="F336" s="86">
        <v>0</v>
      </c>
      <c r="G336" s="77">
        <v>0</v>
      </c>
      <c r="H336" s="77">
        <v>1794.8</v>
      </c>
      <c r="I336" s="77">
        <v>0</v>
      </c>
      <c r="J336" s="77">
        <v>0</v>
      </c>
      <c r="K336" s="80"/>
      <c r="L336" s="155"/>
      <c r="M336" s="143"/>
    </row>
    <row r="337" ht="17.45" customHeight="1" spans="1:13">
      <c r="A337" s="206"/>
      <c r="B337" s="75"/>
      <c r="C337" s="109">
        <v>0</v>
      </c>
      <c r="D337" s="80">
        <v>2023</v>
      </c>
      <c r="E337" s="77">
        <f t="shared" si="32"/>
        <v>1794.8</v>
      </c>
      <c r="F337" s="86">
        <v>0</v>
      </c>
      <c r="G337" s="77">
        <v>0</v>
      </c>
      <c r="H337" s="77">
        <v>1794.8</v>
      </c>
      <c r="I337" s="77">
        <v>0</v>
      </c>
      <c r="J337" s="77">
        <v>0</v>
      </c>
      <c r="K337" s="80"/>
      <c r="L337" s="155"/>
      <c r="M337" s="143"/>
    </row>
    <row r="338" ht="17.45" customHeight="1" spans="1:13">
      <c r="A338" s="206"/>
      <c r="B338" s="75"/>
      <c r="C338" s="109">
        <v>0</v>
      </c>
      <c r="D338" s="80">
        <v>2024</v>
      </c>
      <c r="E338" s="77">
        <f t="shared" si="32"/>
        <v>2456</v>
      </c>
      <c r="F338" s="86">
        <v>0</v>
      </c>
      <c r="G338" s="77">
        <v>0</v>
      </c>
      <c r="H338" s="87">
        <f>1866.6+589.4</f>
        <v>2456</v>
      </c>
      <c r="I338" s="77">
        <v>0</v>
      </c>
      <c r="J338" s="77">
        <v>0</v>
      </c>
      <c r="K338" s="80"/>
      <c r="L338" s="155"/>
      <c r="M338" s="143"/>
    </row>
    <row r="339" ht="17.45" customHeight="1" spans="1:13">
      <c r="A339" s="206"/>
      <c r="B339" s="75"/>
      <c r="C339" s="109">
        <v>0</v>
      </c>
      <c r="D339" s="80">
        <v>2025</v>
      </c>
      <c r="E339" s="77">
        <f t="shared" si="32"/>
        <v>2359.3</v>
      </c>
      <c r="F339" s="86">
        <v>0</v>
      </c>
      <c r="G339" s="77">
        <v>0</v>
      </c>
      <c r="H339" s="87">
        <f>1941.3+418</f>
        <v>2359.3</v>
      </c>
      <c r="I339" s="77">
        <v>0</v>
      </c>
      <c r="J339" s="77">
        <v>0</v>
      </c>
      <c r="K339" s="80"/>
      <c r="L339" s="155"/>
      <c r="M339" s="143"/>
    </row>
    <row r="340" ht="17.45" customHeight="1" spans="1:13">
      <c r="A340" s="206"/>
      <c r="B340" s="75"/>
      <c r="C340" s="109"/>
      <c r="D340" s="80">
        <v>2026</v>
      </c>
      <c r="E340" s="77">
        <f t="shared" ref="E340" si="37">F340+G340+H340+J340</f>
        <v>2019</v>
      </c>
      <c r="F340" s="86">
        <v>0</v>
      </c>
      <c r="G340" s="77">
        <v>0</v>
      </c>
      <c r="H340" s="87">
        <v>2019</v>
      </c>
      <c r="I340" s="77">
        <v>0</v>
      </c>
      <c r="J340" s="77">
        <v>0</v>
      </c>
      <c r="K340" s="80"/>
      <c r="L340" s="155"/>
      <c r="M340" s="143"/>
    </row>
    <row r="341" ht="17.45" customHeight="1" spans="1:13">
      <c r="A341" s="206"/>
      <c r="B341" s="75"/>
      <c r="C341" s="109"/>
      <c r="D341" s="80">
        <v>2027</v>
      </c>
      <c r="E341" s="77">
        <f t="shared" si="32"/>
        <v>2019</v>
      </c>
      <c r="F341" s="86">
        <v>0</v>
      </c>
      <c r="G341" s="77">
        <v>0</v>
      </c>
      <c r="H341" s="87">
        <v>2019</v>
      </c>
      <c r="I341" s="77">
        <v>0</v>
      </c>
      <c r="J341" s="77">
        <v>0</v>
      </c>
      <c r="K341" s="80"/>
      <c r="L341" s="155"/>
      <c r="M341" s="143"/>
    </row>
    <row r="342" ht="17.45" customHeight="1" spans="1:13">
      <c r="A342" s="206"/>
      <c r="B342" s="75"/>
      <c r="C342" s="109"/>
      <c r="D342" s="80">
        <v>2028</v>
      </c>
      <c r="E342" s="77">
        <f>F342+G342+H342+I342+J342</f>
        <v>2019</v>
      </c>
      <c r="F342" s="86">
        <v>0</v>
      </c>
      <c r="G342" s="77">
        <v>0</v>
      </c>
      <c r="H342" s="87">
        <v>2019</v>
      </c>
      <c r="I342" s="77">
        <v>0</v>
      </c>
      <c r="J342" s="77">
        <v>0</v>
      </c>
      <c r="K342" s="80"/>
      <c r="L342" s="155"/>
      <c r="M342" s="143"/>
    </row>
    <row r="343" ht="17.45" customHeight="1" spans="1:13">
      <c r="A343" s="206"/>
      <c r="B343" s="75" t="s">
        <v>200</v>
      </c>
      <c r="C343" s="108">
        <v>0</v>
      </c>
      <c r="D343" s="76">
        <v>2018</v>
      </c>
      <c r="E343" s="77">
        <f t="shared" si="32"/>
        <v>0</v>
      </c>
      <c r="F343" s="77">
        <v>0</v>
      </c>
      <c r="G343" s="77">
        <v>0</v>
      </c>
      <c r="H343" s="77">
        <v>0</v>
      </c>
      <c r="I343" s="77">
        <v>0</v>
      </c>
      <c r="J343" s="77">
        <v>0</v>
      </c>
      <c r="K343" s="80"/>
      <c r="L343" s="155" t="s">
        <v>201</v>
      </c>
      <c r="M343" s="143"/>
    </row>
    <row r="344" ht="17.45" customHeight="1" spans="1:13">
      <c r="A344" s="206"/>
      <c r="B344" s="75"/>
      <c r="C344" s="108">
        <v>0</v>
      </c>
      <c r="D344" s="76">
        <v>2019</v>
      </c>
      <c r="E344" s="77">
        <f t="shared" si="32"/>
        <v>0</v>
      </c>
      <c r="F344" s="77">
        <v>0</v>
      </c>
      <c r="G344" s="77">
        <v>0</v>
      </c>
      <c r="H344" s="77">
        <v>0</v>
      </c>
      <c r="I344" s="77">
        <v>0</v>
      </c>
      <c r="J344" s="77">
        <v>0</v>
      </c>
      <c r="K344" s="80"/>
      <c r="L344" s="155"/>
      <c r="M344" s="143"/>
    </row>
    <row r="345" ht="17.45" customHeight="1" spans="1:13">
      <c r="A345" s="206"/>
      <c r="B345" s="75"/>
      <c r="C345" s="108">
        <v>0</v>
      </c>
      <c r="D345" s="80">
        <v>2020</v>
      </c>
      <c r="E345" s="77">
        <f t="shared" si="32"/>
        <v>4.8</v>
      </c>
      <c r="F345" s="86">
        <v>0</v>
      </c>
      <c r="G345" s="77">
        <v>0</v>
      </c>
      <c r="H345" s="77">
        <v>4.8</v>
      </c>
      <c r="I345" s="77">
        <v>0</v>
      </c>
      <c r="J345" s="77">
        <v>0</v>
      </c>
      <c r="K345" s="80"/>
      <c r="L345" s="155"/>
      <c r="M345" s="143"/>
    </row>
    <row r="346" ht="17.45" customHeight="1" spans="1:13">
      <c r="A346" s="206"/>
      <c r="B346" s="75"/>
      <c r="C346" s="109">
        <v>0</v>
      </c>
      <c r="D346" s="80">
        <v>2021</v>
      </c>
      <c r="E346" s="77">
        <f t="shared" si="32"/>
        <v>57.6</v>
      </c>
      <c r="F346" s="86">
        <v>0</v>
      </c>
      <c r="G346" s="77">
        <v>0</v>
      </c>
      <c r="H346" s="77">
        <v>57.6</v>
      </c>
      <c r="I346" s="77">
        <v>0</v>
      </c>
      <c r="J346" s="77">
        <v>0</v>
      </c>
      <c r="K346" s="80"/>
      <c r="L346" s="155"/>
      <c r="M346" s="143"/>
    </row>
    <row r="347" ht="17.45" customHeight="1" spans="1:13">
      <c r="A347" s="206"/>
      <c r="B347" s="75"/>
      <c r="C347" s="109">
        <v>0</v>
      </c>
      <c r="D347" s="80">
        <v>2022</v>
      </c>
      <c r="E347" s="77">
        <f t="shared" si="32"/>
        <v>50</v>
      </c>
      <c r="F347" s="86">
        <v>0</v>
      </c>
      <c r="G347" s="77">
        <v>0</v>
      </c>
      <c r="H347" s="77">
        <v>50</v>
      </c>
      <c r="I347" s="77">
        <v>0</v>
      </c>
      <c r="J347" s="77">
        <v>0</v>
      </c>
      <c r="K347" s="80"/>
      <c r="L347" s="155"/>
      <c r="M347" s="143"/>
    </row>
    <row r="348" ht="17.45" customHeight="1" spans="1:13">
      <c r="A348" s="206"/>
      <c r="B348" s="75"/>
      <c r="C348" s="109">
        <v>0</v>
      </c>
      <c r="D348" s="80">
        <v>2023</v>
      </c>
      <c r="E348" s="77">
        <f t="shared" si="32"/>
        <v>920.4</v>
      </c>
      <c r="F348" s="86">
        <v>0</v>
      </c>
      <c r="G348" s="77">
        <v>0</v>
      </c>
      <c r="H348" s="77">
        <f>50+870.4</f>
        <v>920.4</v>
      </c>
      <c r="I348" s="77">
        <v>0</v>
      </c>
      <c r="J348" s="77">
        <v>0</v>
      </c>
      <c r="K348" s="80"/>
      <c r="L348" s="155"/>
      <c r="M348" s="143"/>
    </row>
    <row r="349" ht="17.45" customHeight="1" spans="1:13">
      <c r="A349" s="206"/>
      <c r="B349" s="75"/>
      <c r="C349" s="109">
        <v>0</v>
      </c>
      <c r="D349" s="80">
        <v>2024</v>
      </c>
      <c r="E349" s="77">
        <f t="shared" si="32"/>
        <v>519.3</v>
      </c>
      <c r="F349" s="86">
        <v>0</v>
      </c>
      <c r="G349" s="77">
        <v>0</v>
      </c>
      <c r="H349" s="87">
        <f>920.4-401.1</f>
        <v>519.3</v>
      </c>
      <c r="I349" s="77">
        <v>0</v>
      </c>
      <c r="J349" s="77">
        <v>0</v>
      </c>
      <c r="K349" s="80"/>
      <c r="L349" s="155"/>
      <c r="M349" s="143"/>
    </row>
    <row r="350" ht="17.45" customHeight="1" spans="1:13">
      <c r="A350" s="206"/>
      <c r="B350" s="75"/>
      <c r="C350" s="109">
        <v>0</v>
      </c>
      <c r="D350" s="80">
        <v>2025</v>
      </c>
      <c r="E350" s="77">
        <f t="shared" si="32"/>
        <v>237.7</v>
      </c>
      <c r="F350" s="86">
        <v>0</v>
      </c>
      <c r="G350" s="77">
        <v>0</v>
      </c>
      <c r="H350" s="87">
        <f>950.8-713.1</f>
        <v>237.7</v>
      </c>
      <c r="I350" s="77">
        <v>0</v>
      </c>
      <c r="J350" s="77">
        <v>0</v>
      </c>
      <c r="K350" s="80"/>
      <c r="L350" s="155"/>
      <c r="M350" s="143"/>
    </row>
    <row r="351" ht="17.45" customHeight="1" spans="1:13">
      <c r="A351" s="206"/>
      <c r="B351" s="75"/>
      <c r="C351" s="109"/>
      <c r="D351" s="80">
        <v>2026</v>
      </c>
      <c r="E351" s="77">
        <f t="shared" ref="E351" si="38">F351+G351+H351+J351</f>
        <v>1397.2</v>
      </c>
      <c r="F351" s="86">
        <v>0</v>
      </c>
      <c r="G351" s="77">
        <v>0</v>
      </c>
      <c r="H351" s="87">
        <v>1397.2</v>
      </c>
      <c r="I351" s="77">
        <v>0</v>
      </c>
      <c r="J351" s="77">
        <v>0</v>
      </c>
      <c r="K351" s="80"/>
      <c r="L351" s="155"/>
      <c r="M351" s="143"/>
    </row>
    <row r="352" ht="17.45" customHeight="1" spans="1:13">
      <c r="A352" s="206"/>
      <c r="B352" s="75"/>
      <c r="C352" s="109"/>
      <c r="D352" s="80">
        <v>2027</v>
      </c>
      <c r="E352" s="77">
        <f t="shared" si="32"/>
        <v>1516</v>
      </c>
      <c r="F352" s="86">
        <v>0</v>
      </c>
      <c r="G352" s="77">
        <v>0</v>
      </c>
      <c r="H352" s="87">
        <v>1516</v>
      </c>
      <c r="I352" s="77">
        <v>0</v>
      </c>
      <c r="J352" s="77">
        <v>0</v>
      </c>
      <c r="K352" s="80"/>
      <c r="L352" s="155"/>
      <c r="M352" s="143"/>
    </row>
    <row r="353" ht="17.45" customHeight="1" spans="1:13">
      <c r="A353" s="208"/>
      <c r="B353" s="75"/>
      <c r="C353" s="109"/>
      <c r="D353" s="80">
        <v>2028</v>
      </c>
      <c r="E353" s="77">
        <f>F353+G353+H353+I353+J353</f>
        <v>1644.4</v>
      </c>
      <c r="F353" s="86">
        <v>0</v>
      </c>
      <c r="G353" s="77">
        <v>0</v>
      </c>
      <c r="H353" s="87">
        <v>1644.4</v>
      </c>
      <c r="I353" s="77">
        <v>0</v>
      </c>
      <c r="J353" s="77">
        <v>0</v>
      </c>
      <c r="K353" s="80"/>
      <c r="L353" s="155"/>
      <c r="M353" s="143"/>
    </row>
    <row r="354" ht="17.45" customHeight="1" spans="1:13">
      <c r="A354" s="107" t="s">
        <v>202</v>
      </c>
      <c r="B354" s="75" t="s">
        <v>203</v>
      </c>
      <c r="C354" s="108">
        <v>0</v>
      </c>
      <c r="D354" s="76">
        <v>2018</v>
      </c>
      <c r="E354" s="77">
        <f t="shared" si="32"/>
        <v>946</v>
      </c>
      <c r="F354" s="77">
        <v>0</v>
      </c>
      <c r="G354" s="77">
        <v>946</v>
      </c>
      <c r="H354" s="77">
        <v>0</v>
      </c>
      <c r="I354" s="77">
        <v>0</v>
      </c>
      <c r="J354" s="77">
        <v>0</v>
      </c>
      <c r="K354" s="80" t="s">
        <v>204</v>
      </c>
      <c r="L354" s="155" t="s">
        <v>205</v>
      </c>
      <c r="M354" s="143"/>
    </row>
    <row r="355" ht="17.45" customHeight="1" spans="1:13">
      <c r="A355" s="107"/>
      <c r="B355" s="75"/>
      <c r="C355" s="108">
        <v>0</v>
      </c>
      <c r="D355" s="76">
        <v>2019</v>
      </c>
      <c r="E355" s="77">
        <f t="shared" si="32"/>
        <v>1486.4</v>
      </c>
      <c r="F355" s="77">
        <v>0</v>
      </c>
      <c r="G355" s="77">
        <v>1486.4</v>
      </c>
      <c r="H355" s="77">
        <v>0</v>
      </c>
      <c r="I355" s="77">
        <v>0</v>
      </c>
      <c r="J355" s="77">
        <v>0</v>
      </c>
      <c r="K355" s="80"/>
      <c r="L355" s="155"/>
      <c r="M355" s="143"/>
    </row>
    <row r="356" ht="17.45" customHeight="1" spans="1:13">
      <c r="A356" s="107"/>
      <c r="B356" s="75"/>
      <c r="C356" s="108">
        <v>0</v>
      </c>
      <c r="D356" s="80">
        <v>2020</v>
      </c>
      <c r="E356" s="77">
        <f t="shared" si="32"/>
        <v>0</v>
      </c>
      <c r="F356" s="86">
        <v>0</v>
      </c>
      <c r="G356" s="77">
        <v>0</v>
      </c>
      <c r="H356" s="77">
        <v>0</v>
      </c>
      <c r="I356" s="77">
        <v>0</v>
      </c>
      <c r="J356" s="77">
        <v>0</v>
      </c>
      <c r="K356" s="80"/>
      <c r="L356" s="155"/>
      <c r="M356" s="143"/>
    </row>
    <row r="357" ht="17.45" customHeight="1" spans="1:13">
      <c r="A357" s="107"/>
      <c r="B357" s="75"/>
      <c r="C357" s="109">
        <v>0</v>
      </c>
      <c r="D357" s="80">
        <v>2021</v>
      </c>
      <c r="E357" s="77">
        <f t="shared" si="32"/>
        <v>0</v>
      </c>
      <c r="F357" s="86">
        <v>0</v>
      </c>
      <c r="G357" s="77">
        <v>0</v>
      </c>
      <c r="H357" s="77">
        <v>0</v>
      </c>
      <c r="I357" s="77">
        <v>0</v>
      </c>
      <c r="J357" s="77">
        <v>0</v>
      </c>
      <c r="K357" s="80"/>
      <c r="L357" s="155"/>
      <c r="M357" s="143"/>
    </row>
    <row r="358" ht="21.75" customHeight="1" spans="1:13">
      <c r="A358" s="107"/>
      <c r="B358" s="75"/>
      <c r="C358" s="109">
        <v>0</v>
      </c>
      <c r="D358" s="80">
        <v>2022</v>
      </c>
      <c r="E358" s="77">
        <f t="shared" si="32"/>
        <v>0</v>
      </c>
      <c r="F358" s="86">
        <v>0</v>
      </c>
      <c r="G358" s="77">
        <v>0</v>
      </c>
      <c r="H358" s="77">
        <v>0</v>
      </c>
      <c r="I358" s="77">
        <v>0</v>
      </c>
      <c r="J358" s="77">
        <v>0</v>
      </c>
      <c r="K358" s="80"/>
      <c r="L358" s="155"/>
      <c r="M358" s="143"/>
    </row>
    <row r="359" ht="17.45" customHeight="1" spans="1:13">
      <c r="A359" s="107"/>
      <c r="B359" s="75"/>
      <c r="C359" s="109">
        <v>0</v>
      </c>
      <c r="D359" s="80">
        <v>2023</v>
      </c>
      <c r="E359" s="77">
        <f t="shared" si="32"/>
        <v>0</v>
      </c>
      <c r="F359" s="86">
        <v>0</v>
      </c>
      <c r="G359" s="77">
        <v>0</v>
      </c>
      <c r="H359" s="77">
        <v>0</v>
      </c>
      <c r="I359" s="77">
        <v>0</v>
      </c>
      <c r="J359" s="77">
        <v>0</v>
      </c>
      <c r="K359" s="80"/>
      <c r="L359" s="155"/>
      <c r="M359" s="143"/>
    </row>
    <row r="360" ht="17.45" customHeight="1" spans="1:13">
      <c r="A360" s="107"/>
      <c r="B360" s="75"/>
      <c r="C360" s="109">
        <v>0</v>
      </c>
      <c r="D360" s="80">
        <v>2024</v>
      </c>
      <c r="E360" s="77">
        <f t="shared" si="32"/>
        <v>0</v>
      </c>
      <c r="F360" s="86">
        <v>0</v>
      </c>
      <c r="G360" s="77">
        <v>0</v>
      </c>
      <c r="H360" s="77">
        <v>0</v>
      </c>
      <c r="I360" s="77">
        <v>0</v>
      </c>
      <c r="J360" s="77">
        <v>0</v>
      </c>
      <c r="K360" s="80"/>
      <c r="L360" s="155"/>
      <c r="M360" s="143"/>
    </row>
    <row r="361" ht="17.45" customHeight="1" spans="1:13">
      <c r="A361" s="107"/>
      <c r="B361" s="75"/>
      <c r="C361" s="109">
        <v>0</v>
      </c>
      <c r="D361" s="80">
        <v>2025</v>
      </c>
      <c r="E361" s="77">
        <f t="shared" si="32"/>
        <v>0</v>
      </c>
      <c r="F361" s="86">
        <v>0</v>
      </c>
      <c r="G361" s="77">
        <v>0</v>
      </c>
      <c r="H361" s="77">
        <v>0</v>
      </c>
      <c r="I361" s="77">
        <v>0</v>
      </c>
      <c r="J361" s="77">
        <v>0</v>
      </c>
      <c r="K361" s="80"/>
      <c r="L361" s="155"/>
      <c r="M361" s="143"/>
    </row>
    <row r="362" ht="17.45" customHeight="1" spans="1:13">
      <c r="A362" s="107"/>
      <c r="B362" s="75"/>
      <c r="C362" s="109"/>
      <c r="D362" s="80">
        <v>2026</v>
      </c>
      <c r="E362" s="77">
        <f t="shared" ref="E362" si="39">F362+G362+H362+J362</f>
        <v>0</v>
      </c>
      <c r="F362" s="86">
        <v>0</v>
      </c>
      <c r="G362" s="77">
        <v>0</v>
      </c>
      <c r="H362" s="77">
        <v>0</v>
      </c>
      <c r="I362" s="77">
        <v>0</v>
      </c>
      <c r="J362" s="77">
        <v>0</v>
      </c>
      <c r="K362" s="80"/>
      <c r="L362" s="155"/>
      <c r="M362" s="143"/>
    </row>
    <row r="363" s="26" customFormat="1" ht="23.25" customHeight="1" spans="1:13">
      <c r="A363" s="107"/>
      <c r="B363" s="75"/>
      <c r="C363" s="109"/>
      <c r="D363" s="80">
        <v>2027</v>
      </c>
      <c r="E363" s="77">
        <f t="shared" si="32"/>
        <v>0</v>
      </c>
      <c r="F363" s="86">
        <v>0</v>
      </c>
      <c r="G363" s="77">
        <v>0</v>
      </c>
      <c r="H363" s="77">
        <v>0</v>
      </c>
      <c r="I363" s="77">
        <v>0</v>
      </c>
      <c r="J363" s="77">
        <v>0</v>
      </c>
      <c r="K363" s="80"/>
      <c r="L363" s="155"/>
      <c r="M363" s="211"/>
    </row>
    <row r="364" s="27" customFormat="1" ht="27.75" customHeight="1" spans="1:13">
      <c r="A364" s="107"/>
      <c r="B364" s="75"/>
      <c r="C364" s="109"/>
      <c r="D364" s="80">
        <v>2028</v>
      </c>
      <c r="E364" s="77">
        <f>F364+G364+H364+I364+J364</f>
        <v>0</v>
      </c>
      <c r="F364" s="86">
        <v>0</v>
      </c>
      <c r="G364" s="77">
        <v>0</v>
      </c>
      <c r="H364" s="77">
        <v>0</v>
      </c>
      <c r="I364" s="77">
        <v>0</v>
      </c>
      <c r="J364" s="77">
        <v>0</v>
      </c>
      <c r="K364" s="80"/>
      <c r="L364" s="155"/>
      <c r="M364" s="212"/>
    </row>
    <row r="365" ht="20.1" customHeight="1" spans="1:13">
      <c r="A365" s="107" t="s">
        <v>206</v>
      </c>
      <c r="B365" s="209" t="s">
        <v>207</v>
      </c>
      <c r="C365" s="75" t="e">
        <f>#REF!+#REF!+#REF!+#REF!+#REF!+#REF!+#REF!+#REF!</f>
        <v>#REF!</v>
      </c>
      <c r="D365" s="76">
        <v>2018</v>
      </c>
      <c r="E365" s="77">
        <f t="shared" si="32"/>
        <v>0</v>
      </c>
      <c r="F365" s="77">
        <v>0</v>
      </c>
      <c r="G365" s="77">
        <v>0</v>
      </c>
      <c r="H365" s="77">
        <v>0</v>
      </c>
      <c r="I365" s="77">
        <v>0</v>
      </c>
      <c r="J365" s="77">
        <v>0</v>
      </c>
      <c r="K365" s="80" t="s">
        <v>204</v>
      </c>
      <c r="L365" s="155" t="s">
        <v>205</v>
      </c>
      <c r="M365" s="143"/>
    </row>
    <row r="366" ht="20.1" customHeight="1" spans="1:13">
      <c r="A366" s="107"/>
      <c r="B366" s="209"/>
      <c r="C366" s="75"/>
      <c r="D366" s="76">
        <v>2019</v>
      </c>
      <c r="E366" s="77">
        <f t="shared" si="32"/>
        <v>0</v>
      </c>
      <c r="F366" s="77">
        <v>0</v>
      </c>
      <c r="G366" s="77">
        <v>0</v>
      </c>
      <c r="H366" s="77">
        <v>0</v>
      </c>
      <c r="I366" s="77">
        <v>0</v>
      </c>
      <c r="J366" s="77">
        <v>0</v>
      </c>
      <c r="K366" s="80"/>
      <c r="L366" s="155"/>
      <c r="M366" s="143"/>
    </row>
    <row r="367" ht="20.1" customHeight="1" spans="1:13">
      <c r="A367" s="107"/>
      <c r="B367" s="209"/>
      <c r="C367" s="75"/>
      <c r="D367" s="80">
        <v>2020</v>
      </c>
      <c r="E367" s="77">
        <f t="shared" si="32"/>
        <v>1570</v>
      </c>
      <c r="F367" s="86">
        <v>0</v>
      </c>
      <c r="G367" s="77">
        <v>1570</v>
      </c>
      <c r="H367" s="77">
        <v>0</v>
      </c>
      <c r="I367" s="77">
        <v>0</v>
      </c>
      <c r="J367" s="77">
        <v>0</v>
      </c>
      <c r="K367" s="80"/>
      <c r="L367" s="155"/>
      <c r="M367" s="143"/>
    </row>
    <row r="368" ht="20.1" customHeight="1" spans="1:13">
      <c r="A368" s="107"/>
      <c r="B368" s="209"/>
      <c r="C368" s="75"/>
      <c r="D368" s="80">
        <v>2021</v>
      </c>
      <c r="E368" s="77">
        <f t="shared" si="32"/>
        <v>1527.3</v>
      </c>
      <c r="F368" s="86">
        <v>0</v>
      </c>
      <c r="G368" s="77">
        <v>1527.3</v>
      </c>
      <c r="H368" s="77">
        <v>0</v>
      </c>
      <c r="I368" s="77">
        <v>0</v>
      </c>
      <c r="J368" s="77">
        <v>0</v>
      </c>
      <c r="K368" s="80"/>
      <c r="L368" s="155"/>
      <c r="M368" s="143"/>
    </row>
    <row r="369" ht="20.1" customHeight="1" spans="1:13">
      <c r="A369" s="107"/>
      <c r="B369" s="209"/>
      <c r="C369" s="75"/>
      <c r="D369" s="80">
        <v>2022</v>
      </c>
      <c r="E369" s="77">
        <f t="shared" si="32"/>
        <v>1567.1</v>
      </c>
      <c r="F369" s="86">
        <v>0</v>
      </c>
      <c r="G369" s="77">
        <v>1567.1</v>
      </c>
      <c r="H369" s="77">
        <v>0</v>
      </c>
      <c r="I369" s="77">
        <v>0</v>
      </c>
      <c r="J369" s="77">
        <v>0</v>
      </c>
      <c r="K369" s="80"/>
      <c r="L369" s="155"/>
      <c r="M369" s="143"/>
    </row>
    <row r="370" ht="20.1" customHeight="1" spans="1:13">
      <c r="A370" s="107"/>
      <c r="B370" s="209"/>
      <c r="C370" s="75"/>
      <c r="D370" s="80">
        <v>2023</v>
      </c>
      <c r="E370" s="77">
        <f t="shared" si="32"/>
        <v>1729.2</v>
      </c>
      <c r="F370" s="86">
        <v>0</v>
      </c>
      <c r="G370" s="77">
        <v>1729.2</v>
      </c>
      <c r="H370" s="77">
        <v>0</v>
      </c>
      <c r="I370" s="77">
        <v>0</v>
      </c>
      <c r="J370" s="77">
        <v>0</v>
      </c>
      <c r="K370" s="80"/>
      <c r="L370" s="155"/>
      <c r="M370" s="143"/>
    </row>
    <row r="371" ht="20.1" customHeight="1" spans="1:13">
      <c r="A371" s="107"/>
      <c r="B371" s="209"/>
      <c r="C371" s="75"/>
      <c r="D371" s="80">
        <v>2024</v>
      </c>
      <c r="E371" s="77">
        <f t="shared" si="32"/>
        <v>2053.8</v>
      </c>
      <c r="F371" s="86">
        <v>0</v>
      </c>
      <c r="G371" s="77">
        <f>1872.4+181.4</f>
        <v>2053.8</v>
      </c>
      <c r="H371" s="77">
        <v>0</v>
      </c>
      <c r="I371" s="77">
        <v>0</v>
      </c>
      <c r="J371" s="77">
        <v>0</v>
      </c>
      <c r="K371" s="80"/>
      <c r="L371" s="155"/>
      <c r="M371" s="143"/>
    </row>
    <row r="372" ht="20.1" customHeight="1" spans="1:13">
      <c r="A372" s="107"/>
      <c r="B372" s="209"/>
      <c r="C372" s="75"/>
      <c r="D372" s="80">
        <v>2025</v>
      </c>
      <c r="E372" s="77">
        <f t="shared" si="32"/>
        <v>2212.8</v>
      </c>
      <c r="F372" s="86">
        <v>0</v>
      </c>
      <c r="G372" s="77">
        <v>2212.8</v>
      </c>
      <c r="H372" s="77">
        <v>0</v>
      </c>
      <c r="I372" s="77">
        <v>0</v>
      </c>
      <c r="J372" s="77">
        <v>0</v>
      </c>
      <c r="K372" s="80"/>
      <c r="L372" s="155"/>
      <c r="M372" s="143"/>
    </row>
    <row r="373" ht="20.1" customHeight="1" spans="1:13">
      <c r="A373" s="107"/>
      <c r="B373" s="209"/>
      <c r="C373" s="75"/>
      <c r="D373" s="80">
        <v>2026</v>
      </c>
      <c r="E373" s="77">
        <f t="shared" ref="E373" si="40">F373+G373+H373+J373</f>
        <v>2413.5</v>
      </c>
      <c r="F373" s="86">
        <v>0</v>
      </c>
      <c r="G373" s="77">
        <f>2413.5</f>
        <v>2413.5</v>
      </c>
      <c r="H373" s="77">
        <v>0</v>
      </c>
      <c r="I373" s="77">
        <v>0</v>
      </c>
      <c r="J373" s="77">
        <v>0</v>
      </c>
      <c r="K373" s="80"/>
      <c r="L373" s="155"/>
      <c r="M373" s="143"/>
    </row>
    <row r="374" ht="20.1" customHeight="1" spans="1:13">
      <c r="A374" s="107"/>
      <c r="B374" s="209"/>
      <c r="C374" s="75"/>
      <c r="D374" s="80">
        <v>2027</v>
      </c>
      <c r="E374" s="77">
        <f t="shared" si="32"/>
        <v>2567.3</v>
      </c>
      <c r="F374" s="86">
        <v>0</v>
      </c>
      <c r="G374" s="77">
        <v>2567.3</v>
      </c>
      <c r="H374" s="77">
        <v>0</v>
      </c>
      <c r="I374" s="77">
        <v>0</v>
      </c>
      <c r="J374" s="77">
        <v>0</v>
      </c>
      <c r="K374" s="80"/>
      <c r="L374" s="155"/>
      <c r="M374" s="143"/>
    </row>
    <row r="375" s="23" customFormat="1" ht="20.1" customHeight="1" spans="1:13">
      <c r="A375" s="107"/>
      <c r="B375" s="209"/>
      <c r="C375" s="75"/>
      <c r="D375" s="80">
        <v>2028</v>
      </c>
      <c r="E375" s="77">
        <f>F375+G375+H375+I375+J375</f>
        <v>2567.3</v>
      </c>
      <c r="F375" s="86">
        <v>0</v>
      </c>
      <c r="G375" s="77">
        <v>2567.3</v>
      </c>
      <c r="H375" s="77">
        <v>0</v>
      </c>
      <c r="I375" s="77">
        <v>0</v>
      </c>
      <c r="J375" s="77">
        <v>0</v>
      </c>
      <c r="K375" s="80"/>
      <c r="L375" s="155"/>
      <c r="M375" s="194"/>
    </row>
    <row r="376" ht="23.1" customHeight="1" spans="1:13">
      <c r="A376" s="107" t="s">
        <v>208</v>
      </c>
      <c r="B376" s="209" t="s">
        <v>209</v>
      </c>
      <c r="C376" s="75" t="e">
        <f>#REF!+#REF!+#REF!+#REF!+#REF!+#REF!+#REF!+#REF!</f>
        <v>#REF!</v>
      </c>
      <c r="D376" s="181">
        <v>2018</v>
      </c>
      <c r="E376" s="88">
        <f t="shared" si="32"/>
        <v>11979.5</v>
      </c>
      <c r="F376" s="88">
        <v>0</v>
      </c>
      <c r="G376" s="88">
        <v>11979.5</v>
      </c>
      <c r="H376" s="88">
        <v>0</v>
      </c>
      <c r="I376" s="88">
        <v>0</v>
      </c>
      <c r="J376" s="88">
        <v>0</v>
      </c>
      <c r="K376" s="80" t="s">
        <v>210</v>
      </c>
      <c r="L376" s="155" t="s">
        <v>211</v>
      </c>
      <c r="M376" s="143"/>
    </row>
    <row r="377" ht="23.1" customHeight="1" spans="1:13">
      <c r="A377" s="107"/>
      <c r="B377" s="209"/>
      <c r="C377" s="75"/>
      <c r="D377" s="76">
        <v>2019</v>
      </c>
      <c r="E377" s="77">
        <f t="shared" si="32"/>
        <v>12072.5</v>
      </c>
      <c r="F377" s="77">
        <v>0</v>
      </c>
      <c r="G377" s="77">
        <v>12072.5</v>
      </c>
      <c r="H377" s="77">
        <v>0</v>
      </c>
      <c r="I377" s="77">
        <v>0</v>
      </c>
      <c r="J377" s="77">
        <v>0</v>
      </c>
      <c r="K377" s="80"/>
      <c r="L377" s="155"/>
      <c r="M377" s="143"/>
    </row>
    <row r="378" ht="23.1" customHeight="1" spans="1:13">
      <c r="A378" s="107"/>
      <c r="B378" s="209"/>
      <c r="C378" s="75"/>
      <c r="D378" s="80">
        <v>2020</v>
      </c>
      <c r="E378" s="77">
        <f t="shared" si="32"/>
        <v>11906.2</v>
      </c>
      <c r="F378" s="86">
        <v>0</v>
      </c>
      <c r="G378" s="77">
        <v>11906.2</v>
      </c>
      <c r="H378" s="77">
        <v>0</v>
      </c>
      <c r="I378" s="77">
        <v>0</v>
      </c>
      <c r="J378" s="77">
        <v>0</v>
      </c>
      <c r="K378" s="80"/>
      <c r="L378" s="155"/>
      <c r="M378" s="143"/>
    </row>
    <row r="379" ht="23.1" customHeight="1" spans="1:13">
      <c r="A379" s="107"/>
      <c r="B379" s="209"/>
      <c r="C379" s="75"/>
      <c r="D379" s="80">
        <v>2021</v>
      </c>
      <c r="E379" s="77">
        <f t="shared" si="32"/>
        <v>15891.7</v>
      </c>
      <c r="F379" s="86">
        <v>0</v>
      </c>
      <c r="G379" s="77">
        <v>15891.7</v>
      </c>
      <c r="H379" s="77">
        <v>0</v>
      </c>
      <c r="I379" s="77">
        <v>0</v>
      </c>
      <c r="J379" s="77">
        <v>0</v>
      </c>
      <c r="K379" s="80"/>
      <c r="L379" s="155"/>
      <c r="M379" s="143"/>
    </row>
    <row r="380" ht="23.1" customHeight="1" spans="1:13">
      <c r="A380" s="107"/>
      <c r="B380" s="209"/>
      <c r="C380" s="75"/>
      <c r="D380" s="80">
        <v>2022</v>
      </c>
      <c r="E380" s="77">
        <f t="shared" si="32"/>
        <v>20605.1</v>
      </c>
      <c r="F380" s="86">
        <v>0</v>
      </c>
      <c r="G380" s="77">
        <f>11862.2+2140.5+1002.4+2500+3000+100</f>
        <v>20605.1</v>
      </c>
      <c r="H380" s="77">
        <v>0</v>
      </c>
      <c r="I380" s="77">
        <v>0</v>
      </c>
      <c r="J380" s="77">
        <v>0</v>
      </c>
      <c r="K380" s="80"/>
      <c r="L380" s="155"/>
      <c r="M380" s="143"/>
    </row>
    <row r="381" ht="23.1" customHeight="1" spans="1:13">
      <c r="A381" s="107"/>
      <c r="B381" s="209"/>
      <c r="C381" s="75"/>
      <c r="D381" s="80">
        <v>2023</v>
      </c>
      <c r="E381" s="77">
        <f t="shared" si="32"/>
        <v>18631.5</v>
      </c>
      <c r="F381" s="86">
        <v>0</v>
      </c>
      <c r="G381" s="77">
        <f>11781.5+3200+3500+100+50</f>
        <v>18631.5</v>
      </c>
      <c r="H381" s="77">
        <v>0</v>
      </c>
      <c r="I381" s="77">
        <v>0</v>
      </c>
      <c r="J381" s="77">
        <v>0</v>
      </c>
      <c r="K381" s="80"/>
      <c r="L381" s="155"/>
      <c r="M381" s="143"/>
    </row>
    <row r="382" ht="23.1" customHeight="1" spans="1:13">
      <c r="A382" s="107"/>
      <c r="B382" s="209"/>
      <c r="C382" s="75"/>
      <c r="D382" s="80">
        <v>2024</v>
      </c>
      <c r="E382" s="77">
        <f t="shared" si="32"/>
        <v>17851.7</v>
      </c>
      <c r="F382" s="86">
        <v>0</v>
      </c>
      <c r="G382" s="77">
        <f>11750.3+2235.5+3557.9+156.3-75+75+45.8+60+45.9</f>
        <v>17851.7</v>
      </c>
      <c r="H382" s="77">
        <v>0</v>
      </c>
      <c r="I382" s="77">
        <v>0</v>
      </c>
      <c r="J382" s="77">
        <v>0</v>
      </c>
      <c r="K382" s="80"/>
      <c r="L382" s="155"/>
      <c r="M382" s="143"/>
    </row>
    <row r="383" ht="23.1" customHeight="1" spans="1:13">
      <c r="A383" s="107"/>
      <c r="B383" s="209"/>
      <c r="C383" s="75"/>
      <c r="D383" s="80">
        <v>2025</v>
      </c>
      <c r="E383" s="77">
        <f t="shared" si="32"/>
        <v>18469.9</v>
      </c>
      <c r="F383" s="86">
        <v>0</v>
      </c>
      <c r="G383" s="210">
        <f>5132+531.6+6132.3+100+4279+2295</f>
        <v>18469.9</v>
      </c>
      <c r="H383" s="77">
        <v>0</v>
      </c>
      <c r="I383" s="77">
        <v>0</v>
      </c>
      <c r="J383" s="77">
        <v>0</v>
      </c>
      <c r="K383" s="80"/>
      <c r="L383" s="155"/>
      <c r="M383" s="143"/>
    </row>
    <row r="384" ht="23.1" customHeight="1" spans="1:13">
      <c r="A384" s="107"/>
      <c r="B384" s="209"/>
      <c r="C384" s="75"/>
      <c r="D384" s="80">
        <v>2026</v>
      </c>
      <c r="E384" s="77">
        <f t="shared" ref="E384" si="41">F384+G384+H384+J384</f>
        <v>11777</v>
      </c>
      <c r="F384" s="86">
        <v>0</v>
      </c>
      <c r="G384" s="77">
        <v>11777</v>
      </c>
      <c r="H384" s="77">
        <v>0</v>
      </c>
      <c r="I384" s="77">
        <v>0</v>
      </c>
      <c r="J384" s="77">
        <v>0</v>
      </c>
      <c r="K384" s="80"/>
      <c r="L384" s="155"/>
      <c r="M384" s="143"/>
    </row>
    <row r="385" ht="23.1" customHeight="1" spans="1:13">
      <c r="A385" s="107"/>
      <c r="B385" s="209"/>
      <c r="C385" s="75"/>
      <c r="D385" s="80">
        <v>2027</v>
      </c>
      <c r="E385" s="77">
        <f t="shared" si="32"/>
        <v>12248</v>
      </c>
      <c r="F385" s="86">
        <v>0</v>
      </c>
      <c r="G385" s="77">
        <f>5328.7+6344.4+288.9+286</f>
        <v>12248</v>
      </c>
      <c r="H385" s="77">
        <v>0</v>
      </c>
      <c r="I385" s="77">
        <v>0</v>
      </c>
      <c r="J385" s="77">
        <v>0</v>
      </c>
      <c r="K385" s="80"/>
      <c r="L385" s="155"/>
      <c r="M385" s="143"/>
    </row>
    <row r="386" ht="24.75" customHeight="1" spans="1:13">
      <c r="A386" s="107"/>
      <c r="B386" s="209"/>
      <c r="C386" s="75"/>
      <c r="D386" s="80">
        <v>2028</v>
      </c>
      <c r="E386" s="77">
        <f>F386+G386+H386+I386+J386</f>
        <v>12738</v>
      </c>
      <c r="F386" s="86">
        <v>0</v>
      </c>
      <c r="G386" s="77">
        <f>5530+6610.1+349.9+248</f>
        <v>12738</v>
      </c>
      <c r="H386" s="77">
        <v>0</v>
      </c>
      <c r="I386" s="77">
        <v>0</v>
      </c>
      <c r="J386" s="77">
        <v>0</v>
      </c>
      <c r="K386" s="80"/>
      <c r="L386" s="155"/>
      <c r="M386" s="143"/>
    </row>
    <row r="387" ht="19.5" spans="1:13">
      <c r="A387" s="107" t="s">
        <v>212</v>
      </c>
      <c r="B387" s="75" t="s">
        <v>213</v>
      </c>
      <c r="C387" s="75" t="e">
        <f>#REF!+#REF!+#REF!+#REF!+#REF!+#REF!+#REF!+#REF!</f>
        <v>#REF!</v>
      </c>
      <c r="D387" s="76">
        <v>2018</v>
      </c>
      <c r="E387" s="77">
        <f t="shared" si="32"/>
        <v>11131.2</v>
      </c>
      <c r="F387" s="77">
        <v>0</v>
      </c>
      <c r="G387" s="77">
        <v>11131.2</v>
      </c>
      <c r="H387" s="77">
        <v>0</v>
      </c>
      <c r="I387" s="77">
        <v>0</v>
      </c>
      <c r="J387" s="77">
        <v>0</v>
      </c>
      <c r="K387" s="80" t="s">
        <v>214</v>
      </c>
      <c r="L387" s="155" t="s">
        <v>205</v>
      </c>
      <c r="M387" s="143"/>
    </row>
    <row r="388" ht="19.5" spans="1:13">
      <c r="A388" s="107"/>
      <c r="B388" s="75"/>
      <c r="C388" s="75"/>
      <c r="D388" s="76">
        <v>2019</v>
      </c>
      <c r="E388" s="77">
        <f t="shared" ref="E388:E475" si="42">F388+G388+H388+J388</f>
        <v>11898</v>
      </c>
      <c r="F388" s="77">
        <v>0</v>
      </c>
      <c r="G388" s="77">
        <v>11898</v>
      </c>
      <c r="H388" s="77">
        <v>0</v>
      </c>
      <c r="I388" s="77">
        <v>0</v>
      </c>
      <c r="J388" s="77">
        <v>0</v>
      </c>
      <c r="K388" s="80"/>
      <c r="L388" s="155"/>
      <c r="M388" s="143"/>
    </row>
    <row r="389" ht="21" customHeight="1" spans="1:13">
      <c r="A389" s="107"/>
      <c r="B389" s="75"/>
      <c r="C389" s="75"/>
      <c r="D389" s="80">
        <v>2020</v>
      </c>
      <c r="E389" s="77">
        <f t="shared" si="42"/>
        <v>8632.9</v>
      </c>
      <c r="F389" s="86">
        <v>0</v>
      </c>
      <c r="G389" s="77">
        <v>8632.9</v>
      </c>
      <c r="H389" s="77">
        <v>0</v>
      </c>
      <c r="I389" s="77">
        <v>0</v>
      </c>
      <c r="J389" s="77">
        <v>0</v>
      </c>
      <c r="K389" s="80"/>
      <c r="L389" s="155"/>
      <c r="M389" s="143"/>
    </row>
    <row r="390" ht="21" customHeight="1" spans="1:13">
      <c r="A390" s="107"/>
      <c r="B390" s="75"/>
      <c r="C390" s="75"/>
      <c r="D390" s="80">
        <v>2021</v>
      </c>
      <c r="E390" s="77">
        <f t="shared" si="42"/>
        <v>10460</v>
      </c>
      <c r="F390" s="86">
        <v>0</v>
      </c>
      <c r="G390" s="77">
        <v>10460</v>
      </c>
      <c r="H390" s="77">
        <v>0</v>
      </c>
      <c r="I390" s="77">
        <v>0</v>
      </c>
      <c r="J390" s="77">
        <v>0</v>
      </c>
      <c r="K390" s="80"/>
      <c r="L390" s="155"/>
      <c r="M390" s="143"/>
    </row>
    <row r="391" ht="19.5" spans="1:13">
      <c r="A391" s="107"/>
      <c r="B391" s="75"/>
      <c r="C391" s="75"/>
      <c r="D391" s="80">
        <v>2022</v>
      </c>
      <c r="E391" s="77">
        <f t="shared" si="42"/>
        <v>10000.7</v>
      </c>
      <c r="F391" s="86">
        <v>0</v>
      </c>
      <c r="G391" s="77">
        <f>8638+20.4+1342.3</f>
        <v>10000.7</v>
      </c>
      <c r="H391" s="77">
        <v>0</v>
      </c>
      <c r="I391" s="77">
        <v>0</v>
      </c>
      <c r="J391" s="77">
        <v>0</v>
      </c>
      <c r="K391" s="80"/>
      <c r="L391" s="155"/>
      <c r="M391" s="143"/>
    </row>
    <row r="392" ht="21" customHeight="1" spans="1:13">
      <c r="A392" s="107"/>
      <c r="B392" s="75"/>
      <c r="C392" s="75"/>
      <c r="D392" s="80">
        <v>2023</v>
      </c>
      <c r="E392" s="77">
        <f t="shared" si="42"/>
        <v>10602.2</v>
      </c>
      <c r="F392" s="86">
        <v>0</v>
      </c>
      <c r="G392" s="77">
        <f>9601.4+15+985.8</f>
        <v>10602.2</v>
      </c>
      <c r="H392" s="77">
        <v>0</v>
      </c>
      <c r="I392" s="77">
        <v>0</v>
      </c>
      <c r="J392" s="77">
        <v>0</v>
      </c>
      <c r="K392" s="80"/>
      <c r="L392" s="155"/>
      <c r="M392" s="143"/>
    </row>
    <row r="393" ht="21" customHeight="1" spans="1:13">
      <c r="A393" s="107"/>
      <c r="B393" s="75"/>
      <c r="C393" s="75"/>
      <c r="D393" s="80">
        <v>2024</v>
      </c>
      <c r="E393" s="77">
        <f t="shared" si="42"/>
        <v>12794.7</v>
      </c>
      <c r="F393" s="86">
        <v>0</v>
      </c>
      <c r="G393" s="77">
        <f>13897.4-1086.4-16.3</f>
        <v>12794.7</v>
      </c>
      <c r="H393" s="77">
        <v>0</v>
      </c>
      <c r="I393" s="77">
        <v>0</v>
      </c>
      <c r="J393" s="77">
        <v>0</v>
      </c>
      <c r="K393" s="80"/>
      <c r="L393" s="155"/>
      <c r="M393" s="143"/>
    </row>
    <row r="394" ht="21" customHeight="1" spans="1:13">
      <c r="A394" s="107"/>
      <c r="B394" s="75"/>
      <c r="C394" s="75"/>
      <c r="D394" s="80">
        <v>2025</v>
      </c>
      <c r="E394" s="77">
        <f t="shared" si="42"/>
        <v>12548.4</v>
      </c>
      <c r="F394" s="86">
        <v>0</v>
      </c>
      <c r="G394" s="77">
        <f>13935.4-1387</f>
        <v>12548.4</v>
      </c>
      <c r="H394" s="77">
        <v>0</v>
      </c>
      <c r="I394" s="77">
        <v>0</v>
      </c>
      <c r="J394" s="77">
        <v>0</v>
      </c>
      <c r="K394" s="80"/>
      <c r="L394" s="155"/>
      <c r="M394" s="143"/>
    </row>
    <row r="395" ht="18" customHeight="1" spans="1:13">
      <c r="A395" s="107"/>
      <c r="B395" s="75"/>
      <c r="C395" s="75"/>
      <c r="D395" s="80">
        <v>2026</v>
      </c>
      <c r="E395" s="77">
        <f t="shared" ref="E395" si="43">F395+G395+H395+J395</f>
        <v>12876.3</v>
      </c>
      <c r="F395" s="86">
        <v>0</v>
      </c>
      <c r="G395" s="77">
        <v>12876.3</v>
      </c>
      <c r="H395" s="77">
        <v>0</v>
      </c>
      <c r="I395" s="77">
        <v>0</v>
      </c>
      <c r="J395" s="77">
        <v>0</v>
      </c>
      <c r="K395" s="80"/>
      <c r="L395" s="155"/>
      <c r="M395" s="143"/>
    </row>
    <row r="396" ht="19.5" spans="1:13">
      <c r="A396" s="107"/>
      <c r="B396" s="75"/>
      <c r="C396" s="75"/>
      <c r="D396" s="80">
        <v>2027</v>
      </c>
      <c r="E396" s="77">
        <f t="shared" si="42"/>
        <v>12876.3</v>
      </c>
      <c r="F396" s="86">
        <v>0</v>
      </c>
      <c r="G396" s="77">
        <v>12876.3</v>
      </c>
      <c r="H396" s="77">
        <v>0</v>
      </c>
      <c r="I396" s="77">
        <v>0</v>
      </c>
      <c r="J396" s="77">
        <v>0</v>
      </c>
      <c r="K396" s="80"/>
      <c r="L396" s="155"/>
      <c r="M396" s="143"/>
    </row>
    <row r="397" ht="19.5" spans="1:13">
      <c r="A397" s="107"/>
      <c r="B397" s="75"/>
      <c r="C397" s="75"/>
      <c r="D397" s="80">
        <v>2028</v>
      </c>
      <c r="E397" s="77">
        <f>F397+G397+H397+I397+J397</f>
        <v>12876.3</v>
      </c>
      <c r="F397" s="86">
        <v>0</v>
      </c>
      <c r="G397" s="77">
        <f>12876.3</f>
        <v>12876.3</v>
      </c>
      <c r="H397" s="77">
        <v>0</v>
      </c>
      <c r="I397" s="77">
        <v>0</v>
      </c>
      <c r="J397" s="77">
        <v>0</v>
      </c>
      <c r="K397" s="80"/>
      <c r="L397" s="155"/>
      <c r="M397" s="143"/>
    </row>
    <row r="398" ht="23.1" customHeight="1" spans="1:13">
      <c r="A398" s="107" t="s">
        <v>215</v>
      </c>
      <c r="B398" s="75" t="s">
        <v>216</v>
      </c>
      <c r="C398" s="75" t="e">
        <f>#REF!+#REF!+#REF!+#REF!+#REF!+#REF!+#REF!+#REF!</f>
        <v>#REF!</v>
      </c>
      <c r="D398" s="76">
        <v>2018</v>
      </c>
      <c r="E398" s="77">
        <f t="shared" si="42"/>
        <v>479</v>
      </c>
      <c r="F398" s="77">
        <v>0</v>
      </c>
      <c r="G398" s="77">
        <v>0</v>
      </c>
      <c r="H398" s="77">
        <v>479</v>
      </c>
      <c r="I398" s="77">
        <v>0</v>
      </c>
      <c r="J398" s="77">
        <v>0</v>
      </c>
      <c r="K398" s="80" t="s">
        <v>217</v>
      </c>
      <c r="L398" s="155" t="s">
        <v>218</v>
      </c>
      <c r="M398" s="143"/>
    </row>
    <row r="399" ht="23.1" customHeight="1" spans="1:13">
      <c r="A399" s="107"/>
      <c r="B399" s="75"/>
      <c r="C399" s="75"/>
      <c r="D399" s="76">
        <v>2019</v>
      </c>
      <c r="E399" s="77">
        <f t="shared" si="42"/>
        <v>504.5</v>
      </c>
      <c r="F399" s="77">
        <v>0</v>
      </c>
      <c r="G399" s="77">
        <v>0</v>
      </c>
      <c r="H399" s="77">
        <v>504.5</v>
      </c>
      <c r="I399" s="77">
        <v>0</v>
      </c>
      <c r="J399" s="77">
        <v>0</v>
      </c>
      <c r="K399" s="80"/>
      <c r="L399" s="155"/>
      <c r="M399" s="143"/>
    </row>
    <row r="400" ht="23.1" customHeight="1" spans="1:13">
      <c r="A400" s="107"/>
      <c r="B400" s="75"/>
      <c r="C400" s="75"/>
      <c r="D400" s="80">
        <v>2020</v>
      </c>
      <c r="E400" s="77">
        <f t="shared" si="42"/>
        <v>244.2</v>
      </c>
      <c r="F400" s="86">
        <v>0</v>
      </c>
      <c r="G400" s="77">
        <v>0</v>
      </c>
      <c r="H400" s="77">
        <v>244.2</v>
      </c>
      <c r="I400" s="77">
        <v>0</v>
      </c>
      <c r="J400" s="77">
        <v>0</v>
      </c>
      <c r="K400" s="80"/>
      <c r="L400" s="155"/>
      <c r="M400" s="143"/>
    </row>
    <row r="401" ht="23.1" customHeight="1" spans="1:13">
      <c r="A401" s="107"/>
      <c r="B401" s="75"/>
      <c r="C401" s="75"/>
      <c r="D401" s="80">
        <v>2021</v>
      </c>
      <c r="E401" s="77">
        <f t="shared" si="42"/>
        <v>510</v>
      </c>
      <c r="F401" s="86">
        <v>0</v>
      </c>
      <c r="G401" s="77">
        <v>0</v>
      </c>
      <c r="H401" s="77">
        <v>510</v>
      </c>
      <c r="I401" s="77">
        <v>0</v>
      </c>
      <c r="J401" s="77">
        <v>0</v>
      </c>
      <c r="K401" s="80"/>
      <c r="L401" s="155"/>
      <c r="M401" s="143"/>
    </row>
    <row r="402" ht="23.1" customHeight="1" spans="1:13">
      <c r="A402" s="107"/>
      <c r="B402" s="75"/>
      <c r="C402" s="75"/>
      <c r="D402" s="80">
        <v>2022</v>
      </c>
      <c r="E402" s="77">
        <f t="shared" si="42"/>
        <v>515.6</v>
      </c>
      <c r="F402" s="86">
        <v>0</v>
      </c>
      <c r="G402" s="77">
        <v>0</v>
      </c>
      <c r="H402" s="77">
        <f>530.4-14.8</f>
        <v>515.6</v>
      </c>
      <c r="I402" s="77">
        <v>0</v>
      </c>
      <c r="J402" s="77">
        <v>0</v>
      </c>
      <c r="K402" s="80"/>
      <c r="L402" s="155"/>
      <c r="M402" s="143"/>
    </row>
    <row r="403" ht="23.1" customHeight="1" spans="1:13">
      <c r="A403" s="107"/>
      <c r="B403" s="75"/>
      <c r="C403" s="75"/>
      <c r="D403" s="80">
        <v>2023</v>
      </c>
      <c r="E403" s="77">
        <f t="shared" si="42"/>
        <v>488.2</v>
      </c>
      <c r="F403" s="86">
        <v>0</v>
      </c>
      <c r="G403" s="77">
        <v>0</v>
      </c>
      <c r="H403" s="77">
        <f>551.6-61.2-2.2</f>
        <v>488.2</v>
      </c>
      <c r="I403" s="77">
        <v>0</v>
      </c>
      <c r="J403" s="77">
        <v>0</v>
      </c>
      <c r="K403" s="80"/>
      <c r="L403" s="155"/>
      <c r="M403" s="143"/>
    </row>
    <row r="404" ht="23.1" customHeight="1" spans="1:13">
      <c r="A404" s="107"/>
      <c r="B404" s="75"/>
      <c r="C404" s="75"/>
      <c r="D404" s="80">
        <v>2024</v>
      </c>
      <c r="E404" s="77">
        <f t="shared" si="42"/>
        <v>364.1</v>
      </c>
      <c r="F404" s="86">
        <v>0</v>
      </c>
      <c r="G404" s="77">
        <v>0</v>
      </c>
      <c r="H404" s="87">
        <f>573.7-197.8-11.8</f>
        <v>364.1</v>
      </c>
      <c r="I404" s="77">
        <v>0</v>
      </c>
      <c r="J404" s="77">
        <v>0</v>
      </c>
      <c r="K404" s="80"/>
      <c r="L404" s="155"/>
      <c r="M404" s="143"/>
    </row>
    <row r="405" ht="23.1" customHeight="1" spans="1:13">
      <c r="A405" s="107"/>
      <c r="B405" s="75"/>
      <c r="C405" s="75"/>
      <c r="D405" s="80">
        <v>2025</v>
      </c>
      <c r="E405" s="77">
        <f t="shared" si="42"/>
        <v>584.8</v>
      </c>
      <c r="F405" s="86">
        <v>0</v>
      </c>
      <c r="G405" s="77">
        <v>0</v>
      </c>
      <c r="H405" s="110">
        <f>596.6-11.8</f>
        <v>584.8</v>
      </c>
      <c r="I405" s="77">
        <v>0</v>
      </c>
      <c r="J405" s="77">
        <v>0</v>
      </c>
      <c r="K405" s="80"/>
      <c r="L405" s="155"/>
      <c r="M405" s="143"/>
    </row>
    <row r="406" ht="36.75" customHeight="1" spans="1:13">
      <c r="A406" s="107"/>
      <c r="B406" s="209" t="s">
        <v>219</v>
      </c>
      <c r="C406" s="75"/>
      <c r="D406" s="80">
        <v>2026</v>
      </c>
      <c r="E406" s="77">
        <f t="shared" ref="E406" si="44">F406+G406+H406+J406</f>
        <v>900</v>
      </c>
      <c r="F406" s="86">
        <v>0</v>
      </c>
      <c r="G406" s="77">
        <v>0</v>
      </c>
      <c r="H406" s="87">
        <v>900</v>
      </c>
      <c r="I406" s="77">
        <v>0</v>
      </c>
      <c r="J406" s="77">
        <v>0</v>
      </c>
      <c r="K406" s="80"/>
      <c r="L406" s="155"/>
      <c r="M406" s="143"/>
    </row>
    <row r="407" ht="51.75" customHeight="1" spans="1:13">
      <c r="A407" s="107"/>
      <c r="B407" s="209"/>
      <c r="C407" s="75"/>
      <c r="D407" s="80">
        <v>2027</v>
      </c>
      <c r="E407" s="77">
        <f t="shared" si="42"/>
        <v>900</v>
      </c>
      <c r="F407" s="86">
        <v>0</v>
      </c>
      <c r="G407" s="77">
        <v>0</v>
      </c>
      <c r="H407" s="87">
        <v>900</v>
      </c>
      <c r="I407" s="77">
        <v>0</v>
      </c>
      <c r="J407" s="77">
        <v>0</v>
      </c>
      <c r="K407" s="80"/>
      <c r="L407" s="155"/>
      <c r="M407" s="143"/>
    </row>
    <row r="408" s="23" customFormat="1" ht="49.5" customHeight="1" spans="1:13">
      <c r="A408" s="107"/>
      <c r="B408" s="209"/>
      <c r="C408" s="75"/>
      <c r="D408" s="80">
        <v>2028</v>
      </c>
      <c r="E408" s="77">
        <f>F408+G408+H408+I408+J408</f>
        <v>900</v>
      </c>
      <c r="F408" s="86">
        <v>0</v>
      </c>
      <c r="G408" s="77">
        <v>0</v>
      </c>
      <c r="H408" s="87">
        <v>900</v>
      </c>
      <c r="I408" s="77">
        <v>0</v>
      </c>
      <c r="J408" s="77">
        <v>0</v>
      </c>
      <c r="K408" s="80"/>
      <c r="L408" s="155"/>
      <c r="M408" s="194"/>
    </row>
    <row r="409" ht="18.95" customHeight="1" spans="1:13">
      <c r="A409" s="107" t="s">
        <v>220</v>
      </c>
      <c r="B409" s="75" t="s">
        <v>221</v>
      </c>
      <c r="C409" s="75" t="e">
        <f>#REF!+#REF!+#REF!+#REF!+#REF!+#REF!+#REF!+#REF!</f>
        <v>#REF!</v>
      </c>
      <c r="D409" s="181">
        <v>2018</v>
      </c>
      <c r="E409" s="88">
        <f t="shared" si="42"/>
        <v>12599</v>
      </c>
      <c r="F409" s="88">
        <v>0</v>
      </c>
      <c r="G409" s="88">
        <v>0</v>
      </c>
      <c r="H409" s="88">
        <v>12599</v>
      </c>
      <c r="I409" s="88">
        <v>0</v>
      </c>
      <c r="J409" s="88">
        <v>0</v>
      </c>
      <c r="K409" s="80" t="s">
        <v>222</v>
      </c>
      <c r="L409" s="155" t="s">
        <v>35</v>
      </c>
      <c r="M409" s="143"/>
    </row>
    <row r="410" ht="18.95" customHeight="1" spans="1:13">
      <c r="A410" s="107"/>
      <c r="B410" s="75"/>
      <c r="C410" s="75"/>
      <c r="D410" s="76">
        <v>2019</v>
      </c>
      <c r="E410" s="77">
        <f t="shared" si="42"/>
        <v>13349.7</v>
      </c>
      <c r="F410" s="77">
        <v>0</v>
      </c>
      <c r="G410" s="77">
        <v>0</v>
      </c>
      <c r="H410" s="77">
        <v>13349.7</v>
      </c>
      <c r="I410" s="77">
        <v>0</v>
      </c>
      <c r="J410" s="77">
        <v>0</v>
      </c>
      <c r="K410" s="80"/>
      <c r="L410" s="155"/>
      <c r="M410" s="143"/>
    </row>
    <row r="411" ht="18.95" customHeight="1" spans="1:13">
      <c r="A411" s="107"/>
      <c r="B411" s="75"/>
      <c r="C411" s="75"/>
      <c r="D411" s="80">
        <v>2020</v>
      </c>
      <c r="E411" s="77">
        <f t="shared" si="42"/>
        <v>10171.2</v>
      </c>
      <c r="F411" s="86">
        <v>0</v>
      </c>
      <c r="G411" s="77">
        <v>0</v>
      </c>
      <c r="H411" s="77">
        <v>10171.2</v>
      </c>
      <c r="I411" s="77">
        <v>0</v>
      </c>
      <c r="J411" s="77">
        <v>0</v>
      </c>
      <c r="K411" s="80"/>
      <c r="L411" s="155"/>
      <c r="M411" s="143"/>
    </row>
    <row r="412" ht="18.95" customHeight="1" spans="1:13">
      <c r="A412" s="107"/>
      <c r="B412" s="75"/>
      <c r="C412" s="75"/>
      <c r="D412" s="80">
        <v>2021</v>
      </c>
      <c r="E412" s="77">
        <f t="shared" si="42"/>
        <v>22215.8</v>
      </c>
      <c r="F412" s="86">
        <v>0</v>
      </c>
      <c r="G412" s="77">
        <v>0</v>
      </c>
      <c r="H412" s="77">
        <v>22215.8</v>
      </c>
      <c r="I412" s="77">
        <v>0</v>
      </c>
      <c r="J412" s="77">
        <v>0</v>
      </c>
      <c r="K412" s="80"/>
      <c r="L412" s="155"/>
      <c r="M412" s="143"/>
    </row>
    <row r="413" ht="18.95" customHeight="1" spans="1:13">
      <c r="A413" s="107"/>
      <c r="B413" s="75"/>
      <c r="C413" s="75"/>
      <c r="D413" s="80">
        <v>2022</v>
      </c>
      <c r="E413" s="77">
        <f t="shared" si="42"/>
        <v>25597.9</v>
      </c>
      <c r="F413" s="86">
        <v>0</v>
      </c>
      <c r="G413" s="77">
        <v>0</v>
      </c>
      <c r="H413" s="77">
        <f>19637.9+5453.2+506.8</f>
        <v>25597.9</v>
      </c>
      <c r="I413" s="77">
        <v>0</v>
      </c>
      <c r="J413" s="77">
        <v>0</v>
      </c>
      <c r="K413" s="80"/>
      <c r="L413" s="155"/>
      <c r="M413" s="143"/>
    </row>
    <row r="414" ht="18.95" customHeight="1" spans="1:13">
      <c r="A414" s="107"/>
      <c r="B414" s="75"/>
      <c r="C414" s="75"/>
      <c r="D414" s="80">
        <v>2023</v>
      </c>
      <c r="E414" s="77">
        <f t="shared" si="42"/>
        <v>73157.1</v>
      </c>
      <c r="F414" s="86">
        <v>0</v>
      </c>
      <c r="G414" s="77">
        <v>0</v>
      </c>
      <c r="H414" s="77">
        <f>69260.5+2238.7+601.2+1087.3-30.6</f>
        <v>73157.1</v>
      </c>
      <c r="I414" s="77">
        <v>0</v>
      </c>
      <c r="J414" s="77">
        <v>0</v>
      </c>
      <c r="K414" s="80"/>
      <c r="L414" s="155"/>
      <c r="M414" s="143"/>
    </row>
    <row r="415" ht="18.95" customHeight="1" spans="1:13">
      <c r="A415" s="107"/>
      <c r="B415" s="75"/>
      <c r="C415" s="75"/>
      <c r="D415" s="80">
        <v>2024</v>
      </c>
      <c r="E415" s="77">
        <f t="shared" si="42"/>
        <v>99442.1</v>
      </c>
      <c r="F415" s="86">
        <v>0</v>
      </c>
      <c r="G415" s="77">
        <v>0</v>
      </c>
      <c r="H415" s="87">
        <f>77632.2+11475+3858+47.5+1643.4-297.2+5092-8.8</f>
        <v>99442.1</v>
      </c>
      <c r="I415" s="77">
        <v>0</v>
      </c>
      <c r="J415" s="77">
        <v>0</v>
      </c>
      <c r="K415" s="80"/>
      <c r="L415" s="155"/>
      <c r="M415" s="143"/>
    </row>
    <row r="416" ht="18.95" customHeight="1" spans="1:13">
      <c r="A416" s="107"/>
      <c r="B416" s="75"/>
      <c r="C416" s="75"/>
      <c r="D416" s="80">
        <v>2025</v>
      </c>
      <c r="E416" s="77">
        <f t="shared" si="42"/>
        <v>116530.9</v>
      </c>
      <c r="F416" s="86">
        <v>0</v>
      </c>
      <c r="G416" s="77">
        <v>0</v>
      </c>
      <c r="H416" s="110">
        <f>105494.2+4529+162.5+573.1+6148.4-376.3</f>
        <v>116530.9</v>
      </c>
      <c r="I416" s="77">
        <v>0</v>
      </c>
      <c r="J416" s="77">
        <v>0</v>
      </c>
      <c r="K416" s="80"/>
      <c r="L416" s="155"/>
      <c r="M416" s="143"/>
    </row>
    <row r="417" ht="18.95" customHeight="1" spans="1:13">
      <c r="A417" s="107"/>
      <c r="B417" s="75"/>
      <c r="C417" s="75"/>
      <c r="D417" s="80">
        <v>2026</v>
      </c>
      <c r="E417" s="77">
        <f t="shared" ref="E417" si="45">F417+G417+H417+J417</f>
        <v>109714</v>
      </c>
      <c r="F417" s="86">
        <v>0</v>
      </c>
      <c r="G417" s="77">
        <v>0</v>
      </c>
      <c r="H417" s="87">
        <v>109714</v>
      </c>
      <c r="I417" s="77">
        <v>0</v>
      </c>
      <c r="J417" s="77">
        <v>0</v>
      </c>
      <c r="K417" s="80"/>
      <c r="L417" s="155"/>
      <c r="M417" s="143"/>
    </row>
    <row r="418" ht="18.95" customHeight="1" spans="1:13">
      <c r="A418" s="107"/>
      <c r="B418" s="75"/>
      <c r="C418" s="75"/>
      <c r="D418" s="80">
        <v>2027</v>
      </c>
      <c r="E418" s="77">
        <f t="shared" si="42"/>
        <v>109714</v>
      </c>
      <c r="F418" s="86">
        <v>0</v>
      </c>
      <c r="G418" s="77">
        <v>0</v>
      </c>
      <c r="H418" s="87">
        <v>109714</v>
      </c>
      <c r="I418" s="77">
        <v>0</v>
      </c>
      <c r="J418" s="77">
        <v>0</v>
      </c>
      <c r="K418" s="80"/>
      <c r="L418" s="155"/>
      <c r="M418" s="143"/>
    </row>
    <row r="419" ht="18.95" customHeight="1" spans="1:13">
      <c r="A419" s="107"/>
      <c r="B419" s="75"/>
      <c r="C419" s="75"/>
      <c r="D419" s="80">
        <v>2028</v>
      </c>
      <c r="E419" s="77">
        <f>F419+G419+H419+I419+J419</f>
        <v>109714</v>
      </c>
      <c r="F419" s="86">
        <v>0</v>
      </c>
      <c r="G419" s="77">
        <v>0</v>
      </c>
      <c r="H419" s="87">
        <v>109714</v>
      </c>
      <c r="I419" s="77">
        <v>0</v>
      </c>
      <c r="J419" s="77">
        <v>0</v>
      </c>
      <c r="K419" s="80"/>
      <c r="L419" s="155"/>
      <c r="M419" s="143"/>
    </row>
    <row r="420" ht="18.95" customHeight="1" spans="1:13">
      <c r="A420" s="107" t="s">
        <v>223</v>
      </c>
      <c r="B420" s="75" t="s">
        <v>224</v>
      </c>
      <c r="C420" s="75" t="e">
        <f>#REF!+#REF!+#REF!+#REF!+#REF!+#REF!+#REF!+#REF!</f>
        <v>#REF!</v>
      </c>
      <c r="D420" s="76">
        <v>2018</v>
      </c>
      <c r="E420" s="77">
        <f t="shared" si="42"/>
        <v>4261.5</v>
      </c>
      <c r="F420" s="77">
        <v>0</v>
      </c>
      <c r="G420" s="77">
        <v>0</v>
      </c>
      <c r="H420" s="77">
        <v>4261.5</v>
      </c>
      <c r="I420" s="77">
        <v>0</v>
      </c>
      <c r="J420" s="77">
        <v>0</v>
      </c>
      <c r="K420" s="80" t="s">
        <v>225</v>
      </c>
      <c r="L420" s="155" t="s">
        <v>35</v>
      </c>
      <c r="M420" s="143"/>
    </row>
    <row r="421" ht="18.95" customHeight="1" spans="1:13">
      <c r="A421" s="107"/>
      <c r="B421" s="75"/>
      <c r="C421" s="75"/>
      <c r="D421" s="76">
        <v>2019</v>
      </c>
      <c r="E421" s="77">
        <f t="shared" si="42"/>
        <v>9512</v>
      </c>
      <c r="F421" s="77">
        <v>0</v>
      </c>
      <c r="G421" s="77">
        <v>0</v>
      </c>
      <c r="H421" s="77">
        <v>9512</v>
      </c>
      <c r="I421" s="77">
        <v>0</v>
      </c>
      <c r="J421" s="77">
        <v>0</v>
      </c>
      <c r="K421" s="80"/>
      <c r="L421" s="155"/>
      <c r="M421" s="143"/>
    </row>
    <row r="422" ht="18.95" customHeight="1" spans="1:13">
      <c r="A422" s="107"/>
      <c r="B422" s="75"/>
      <c r="C422" s="75"/>
      <c r="D422" s="80">
        <v>2020</v>
      </c>
      <c r="E422" s="77">
        <f t="shared" si="42"/>
        <v>14875.1</v>
      </c>
      <c r="F422" s="86">
        <v>0</v>
      </c>
      <c r="G422" s="77">
        <v>0</v>
      </c>
      <c r="H422" s="77">
        <v>14875.1</v>
      </c>
      <c r="I422" s="77">
        <v>0</v>
      </c>
      <c r="J422" s="77">
        <v>0</v>
      </c>
      <c r="K422" s="80"/>
      <c r="L422" s="155"/>
      <c r="M422" s="143"/>
    </row>
    <row r="423" ht="18.95" customHeight="1" spans="1:13">
      <c r="A423" s="107"/>
      <c r="B423" s="75"/>
      <c r="C423" s="75"/>
      <c r="D423" s="80">
        <v>2021</v>
      </c>
      <c r="E423" s="77">
        <f t="shared" si="42"/>
        <v>20110.5</v>
      </c>
      <c r="F423" s="86">
        <v>0</v>
      </c>
      <c r="G423" s="77">
        <v>0</v>
      </c>
      <c r="H423" s="77">
        <v>20110.5</v>
      </c>
      <c r="I423" s="77">
        <v>0</v>
      </c>
      <c r="J423" s="77">
        <v>0</v>
      </c>
      <c r="K423" s="80"/>
      <c r="L423" s="155"/>
      <c r="M423" s="143"/>
    </row>
    <row r="424" ht="18.95" customHeight="1" spans="1:13">
      <c r="A424" s="107"/>
      <c r="B424" s="75"/>
      <c r="C424" s="75"/>
      <c r="D424" s="80">
        <v>2022</v>
      </c>
      <c r="E424" s="77">
        <f t="shared" si="42"/>
        <v>11547.3</v>
      </c>
      <c r="F424" s="86">
        <v>0</v>
      </c>
      <c r="G424" s="77">
        <v>0</v>
      </c>
      <c r="H424" s="77">
        <v>11547.3</v>
      </c>
      <c r="I424" s="77">
        <v>0</v>
      </c>
      <c r="J424" s="77">
        <v>0</v>
      </c>
      <c r="K424" s="80"/>
      <c r="L424" s="155"/>
      <c r="M424" s="143"/>
    </row>
    <row r="425" ht="18.95" customHeight="1" spans="1:13">
      <c r="A425" s="107"/>
      <c r="B425" s="75"/>
      <c r="C425" s="75"/>
      <c r="D425" s="80">
        <v>2023</v>
      </c>
      <c r="E425" s="77">
        <f t="shared" si="42"/>
        <v>17369</v>
      </c>
      <c r="F425" s="86">
        <v>0</v>
      </c>
      <c r="G425" s="77">
        <v>0</v>
      </c>
      <c r="H425" s="77">
        <f>20721.3-2739.1-1249.1+319.8+316.1</f>
        <v>17369</v>
      </c>
      <c r="I425" s="77">
        <v>0</v>
      </c>
      <c r="J425" s="77">
        <v>0</v>
      </c>
      <c r="K425" s="80"/>
      <c r="L425" s="155"/>
      <c r="M425" s="143"/>
    </row>
    <row r="426" ht="18.95" customHeight="1" spans="1:13">
      <c r="A426" s="107"/>
      <c r="B426" s="75"/>
      <c r="C426" s="75"/>
      <c r="D426" s="80">
        <v>2024</v>
      </c>
      <c r="E426" s="77">
        <f t="shared" si="42"/>
        <v>31748.5</v>
      </c>
      <c r="F426" s="86">
        <v>0</v>
      </c>
      <c r="G426" s="77">
        <v>0</v>
      </c>
      <c r="H426" s="87">
        <f>43069-11475-94+363.5+11.8-126.8</f>
        <v>31748.5</v>
      </c>
      <c r="I426" s="77">
        <v>0</v>
      </c>
      <c r="J426" s="77">
        <v>0</v>
      </c>
      <c r="K426" s="80"/>
      <c r="L426" s="155"/>
      <c r="M426" s="143"/>
    </row>
    <row r="427" ht="18.95" customHeight="1" spans="1:13">
      <c r="A427" s="107"/>
      <c r="B427" s="75"/>
      <c r="C427" s="75"/>
      <c r="D427" s="80">
        <v>2025</v>
      </c>
      <c r="E427" s="77">
        <f t="shared" si="42"/>
        <v>16048.8</v>
      </c>
      <c r="F427" s="86">
        <v>0</v>
      </c>
      <c r="G427" s="77">
        <v>0</v>
      </c>
      <c r="H427" s="110">
        <f>17402.4-1000-733.7-574.5-573.1+669.4+470.1+376.3+11.9</f>
        <v>16048.8</v>
      </c>
      <c r="I427" s="77">
        <v>0</v>
      </c>
      <c r="J427" s="77">
        <v>0</v>
      </c>
      <c r="K427" s="80"/>
      <c r="L427" s="155"/>
      <c r="M427" s="143"/>
    </row>
    <row r="428" ht="18.95" customHeight="1" spans="1:13">
      <c r="A428" s="107"/>
      <c r="B428" s="75"/>
      <c r="C428" s="75"/>
      <c r="D428" s="80">
        <v>2026</v>
      </c>
      <c r="E428" s="77">
        <f t="shared" ref="E428" si="46">F428+G428+H428+J428</f>
        <v>18098.5</v>
      </c>
      <c r="F428" s="86">
        <v>0</v>
      </c>
      <c r="G428" s="77">
        <v>0</v>
      </c>
      <c r="H428" s="87">
        <v>18098.5</v>
      </c>
      <c r="I428" s="77">
        <v>0</v>
      </c>
      <c r="J428" s="77">
        <v>0</v>
      </c>
      <c r="K428" s="80"/>
      <c r="L428" s="155"/>
      <c r="M428" s="143"/>
    </row>
    <row r="429" ht="18.95" customHeight="1" spans="1:13">
      <c r="A429" s="107"/>
      <c r="B429" s="75"/>
      <c r="C429" s="75"/>
      <c r="D429" s="80">
        <v>2027</v>
      </c>
      <c r="E429" s="77">
        <f t="shared" si="42"/>
        <v>18098.5</v>
      </c>
      <c r="F429" s="86">
        <v>0</v>
      </c>
      <c r="G429" s="77">
        <v>0</v>
      </c>
      <c r="H429" s="87">
        <v>18098.5</v>
      </c>
      <c r="I429" s="77">
        <v>0</v>
      </c>
      <c r="J429" s="77">
        <v>0</v>
      </c>
      <c r="K429" s="80"/>
      <c r="L429" s="155"/>
      <c r="M429" s="143"/>
    </row>
    <row r="430" ht="18.95" customHeight="1" spans="1:13">
      <c r="A430" s="107"/>
      <c r="B430" s="75"/>
      <c r="C430" s="75"/>
      <c r="D430" s="80">
        <v>2028</v>
      </c>
      <c r="E430" s="77">
        <f>F430+G430+H430+I430+J430</f>
        <v>13319.9</v>
      </c>
      <c r="F430" s="86">
        <v>0</v>
      </c>
      <c r="G430" s="77">
        <v>0</v>
      </c>
      <c r="H430" s="87">
        <f>18098.5-4778.6</f>
        <v>13319.9</v>
      </c>
      <c r="I430" s="77">
        <v>0</v>
      </c>
      <c r="J430" s="77">
        <v>0</v>
      </c>
      <c r="K430" s="80"/>
      <c r="L430" s="155"/>
      <c r="M430" s="143"/>
    </row>
    <row r="431" ht="20.25" customHeight="1" spans="1:13">
      <c r="A431" s="107" t="s">
        <v>226</v>
      </c>
      <c r="B431" s="213" t="s">
        <v>227</v>
      </c>
      <c r="C431" s="75" t="e">
        <f>#REF!+#REF!+#REF!+#REF!+#REF!+#REF!+#REF!+#REF!</f>
        <v>#REF!</v>
      </c>
      <c r="D431" s="76">
        <v>2018</v>
      </c>
      <c r="E431" s="77">
        <f t="shared" si="42"/>
        <v>0</v>
      </c>
      <c r="F431" s="77">
        <v>0</v>
      </c>
      <c r="G431" s="77">
        <v>0</v>
      </c>
      <c r="H431" s="77">
        <v>0</v>
      </c>
      <c r="I431" s="77">
        <v>0</v>
      </c>
      <c r="J431" s="77">
        <v>0</v>
      </c>
      <c r="K431" s="80" t="s">
        <v>228</v>
      </c>
      <c r="L431" s="155" t="s">
        <v>211</v>
      </c>
      <c r="M431" s="143"/>
    </row>
    <row r="432" ht="19.5" customHeight="1" spans="1:13">
      <c r="A432" s="107"/>
      <c r="B432" s="213"/>
      <c r="C432" s="75"/>
      <c r="D432" s="76">
        <v>2019</v>
      </c>
      <c r="E432" s="77">
        <f t="shared" si="42"/>
        <v>320</v>
      </c>
      <c r="F432" s="77">
        <v>0</v>
      </c>
      <c r="G432" s="77">
        <v>0</v>
      </c>
      <c r="H432" s="77">
        <v>320</v>
      </c>
      <c r="I432" s="77">
        <v>0</v>
      </c>
      <c r="J432" s="77">
        <v>0</v>
      </c>
      <c r="K432" s="80"/>
      <c r="L432" s="155"/>
      <c r="M432" s="143"/>
    </row>
    <row r="433" ht="23.1" customHeight="1" spans="1:13">
      <c r="A433" s="107"/>
      <c r="B433" s="213"/>
      <c r="C433" s="75"/>
      <c r="D433" s="80">
        <v>2020</v>
      </c>
      <c r="E433" s="77">
        <f t="shared" si="42"/>
        <v>0</v>
      </c>
      <c r="F433" s="86">
        <v>0</v>
      </c>
      <c r="G433" s="77">
        <v>0</v>
      </c>
      <c r="H433" s="77">
        <v>0</v>
      </c>
      <c r="I433" s="77">
        <v>0</v>
      </c>
      <c r="J433" s="77">
        <v>0</v>
      </c>
      <c r="K433" s="80"/>
      <c r="L433" s="155"/>
      <c r="M433" s="143"/>
    </row>
    <row r="434" ht="23.1" customHeight="1" spans="1:13">
      <c r="A434" s="107"/>
      <c r="B434" s="213"/>
      <c r="C434" s="75"/>
      <c r="D434" s="80">
        <v>2021</v>
      </c>
      <c r="E434" s="77">
        <f t="shared" si="42"/>
        <v>0</v>
      </c>
      <c r="F434" s="86">
        <v>0</v>
      </c>
      <c r="G434" s="77">
        <v>0</v>
      </c>
      <c r="H434" s="77">
        <v>0</v>
      </c>
      <c r="I434" s="77">
        <v>0</v>
      </c>
      <c r="J434" s="77">
        <v>0</v>
      </c>
      <c r="K434" s="80"/>
      <c r="L434" s="155"/>
      <c r="M434" s="143"/>
    </row>
    <row r="435" ht="23.1" customHeight="1" spans="1:13">
      <c r="A435" s="107"/>
      <c r="B435" s="213"/>
      <c r="C435" s="75"/>
      <c r="D435" s="80">
        <v>2022</v>
      </c>
      <c r="E435" s="77">
        <f t="shared" si="42"/>
        <v>0</v>
      </c>
      <c r="F435" s="86">
        <v>0</v>
      </c>
      <c r="G435" s="77">
        <v>0</v>
      </c>
      <c r="H435" s="77">
        <v>0</v>
      </c>
      <c r="I435" s="77">
        <v>0</v>
      </c>
      <c r="J435" s="77">
        <v>0</v>
      </c>
      <c r="K435" s="80"/>
      <c r="L435" s="155"/>
      <c r="M435" s="143"/>
    </row>
    <row r="436" ht="24.75" customHeight="1" spans="1:13">
      <c r="A436" s="107"/>
      <c r="B436" s="213"/>
      <c r="C436" s="75"/>
      <c r="D436" s="80">
        <v>2023</v>
      </c>
      <c r="E436" s="77">
        <f t="shared" si="42"/>
        <v>0</v>
      </c>
      <c r="F436" s="86">
        <v>0</v>
      </c>
      <c r="G436" s="77">
        <v>0</v>
      </c>
      <c r="H436" s="77">
        <v>0</v>
      </c>
      <c r="I436" s="77">
        <v>0</v>
      </c>
      <c r="J436" s="77">
        <v>0</v>
      </c>
      <c r="K436" s="80"/>
      <c r="L436" s="155"/>
      <c r="M436" s="143"/>
    </row>
    <row r="437" ht="23.1" customHeight="1" spans="1:13">
      <c r="A437" s="107"/>
      <c r="B437" s="213"/>
      <c r="C437" s="75"/>
      <c r="D437" s="80">
        <v>2024</v>
      </c>
      <c r="E437" s="77">
        <f t="shared" si="42"/>
        <v>0</v>
      </c>
      <c r="F437" s="86">
        <v>0</v>
      </c>
      <c r="G437" s="77">
        <v>0</v>
      </c>
      <c r="H437" s="77">
        <v>0</v>
      </c>
      <c r="I437" s="77">
        <v>0</v>
      </c>
      <c r="J437" s="77">
        <v>0</v>
      </c>
      <c r="K437" s="80"/>
      <c r="L437" s="155"/>
      <c r="M437" s="143"/>
    </row>
    <row r="438" ht="23.1" customHeight="1" spans="1:13">
      <c r="A438" s="107"/>
      <c r="B438" s="213"/>
      <c r="C438" s="75"/>
      <c r="D438" s="80">
        <v>2025</v>
      </c>
      <c r="E438" s="77">
        <f t="shared" si="42"/>
        <v>0</v>
      </c>
      <c r="F438" s="86">
        <v>0</v>
      </c>
      <c r="G438" s="77">
        <v>0</v>
      </c>
      <c r="H438" s="77">
        <v>0</v>
      </c>
      <c r="I438" s="77">
        <v>0</v>
      </c>
      <c r="J438" s="77">
        <v>0</v>
      </c>
      <c r="K438" s="80"/>
      <c r="L438" s="155"/>
      <c r="M438" s="143"/>
    </row>
    <row r="439" ht="24" customHeight="1" spans="1:13">
      <c r="A439" s="107"/>
      <c r="B439" s="213"/>
      <c r="C439" s="75"/>
      <c r="D439" s="80">
        <v>2026</v>
      </c>
      <c r="E439" s="77">
        <f t="shared" ref="E439" si="47">F439+G439+H439+J439</f>
        <v>0</v>
      </c>
      <c r="F439" s="86">
        <v>0</v>
      </c>
      <c r="G439" s="77">
        <v>0</v>
      </c>
      <c r="H439" s="77">
        <v>0</v>
      </c>
      <c r="I439" s="77">
        <v>0</v>
      </c>
      <c r="J439" s="77">
        <v>0</v>
      </c>
      <c r="K439" s="80"/>
      <c r="L439" s="155"/>
      <c r="M439" s="143"/>
    </row>
    <row r="440" ht="24" customHeight="1" spans="1:13">
      <c r="A440" s="107"/>
      <c r="B440" s="213"/>
      <c r="C440" s="75"/>
      <c r="D440" s="80">
        <v>2027</v>
      </c>
      <c r="E440" s="77">
        <f t="shared" si="42"/>
        <v>0</v>
      </c>
      <c r="F440" s="86">
        <v>0</v>
      </c>
      <c r="G440" s="77">
        <v>0</v>
      </c>
      <c r="H440" s="77">
        <v>0</v>
      </c>
      <c r="I440" s="77">
        <v>0</v>
      </c>
      <c r="J440" s="77">
        <v>0</v>
      </c>
      <c r="K440" s="80"/>
      <c r="L440" s="155"/>
      <c r="M440" s="143"/>
    </row>
    <row r="441" ht="24" customHeight="1" spans="1:13">
      <c r="A441" s="107"/>
      <c r="B441" s="213"/>
      <c r="C441" s="75"/>
      <c r="D441" s="80">
        <v>2028</v>
      </c>
      <c r="E441" s="77">
        <f>F441+G441+H441+I441+J441</f>
        <v>0</v>
      </c>
      <c r="F441" s="86">
        <v>0</v>
      </c>
      <c r="G441" s="77">
        <v>0</v>
      </c>
      <c r="H441" s="77">
        <v>0</v>
      </c>
      <c r="I441" s="77">
        <v>0</v>
      </c>
      <c r="J441" s="77">
        <v>0</v>
      </c>
      <c r="K441" s="80"/>
      <c r="L441" s="155"/>
      <c r="M441" s="143"/>
    </row>
    <row r="442" ht="24.95" customHeight="1" spans="1:13">
      <c r="A442" s="107" t="s">
        <v>229</v>
      </c>
      <c r="B442" s="213" t="s">
        <v>230</v>
      </c>
      <c r="C442" s="75" t="e">
        <f>#REF!+#REF!+#REF!+#REF!+#REF!+#REF!+#REF!+#REF!</f>
        <v>#REF!</v>
      </c>
      <c r="D442" s="76">
        <v>2018</v>
      </c>
      <c r="E442" s="77">
        <f t="shared" si="42"/>
        <v>1519.3</v>
      </c>
      <c r="F442" s="77">
        <v>0</v>
      </c>
      <c r="G442" s="77">
        <v>1519.3</v>
      </c>
      <c r="H442" s="77">
        <v>0</v>
      </c>
      <c r="I442" s="77">
        <v>0</v>
      </c>
      <c r="J442" s="77">
        <v>0</v>
      </c>
      <c r="K442" s="80" t="s">
        <v>231</v>
      </c>
      <c r="L442" s="155" t="s">
        <v>211</v>
      </c>
      <c r="M442" s="143"/>
    </row>
    <row r="443" ht="24.95" customHeight="1" spans="1:13">
      <c r="A443" s="107"/>
      <c r="B443" s="213"/>
      <c r="C443" s="75"/>
      <c r="D443" s="76">
        <v>2019</v>
      </c>
      <c r="E443" s="77">
        <f t="shared" si="42"/>
        <v>2994.3</v>
      </c>
      <c r="F443" s="77">
        <v>0</v>
      </c>
      <c r="G443" s="77">
        <v>2994.3</v>
      </c>
      <c r="H443" s="77">
        <v>0</v>
      </c>
      <c r="I443" s="77">
        <v>0</v>
      </c>
      <c r="J443" s="77">
        <v>0</v>
      </c>
      <c r="K443" s="80"/>
      <c r="L443" s="155"/>
      <c r="M443" s="143"/>
    </row>
    <row r="444" ht="24.95" customHeight="1" spans="1:13">
      <c r="A444" s="107"/>
      <c r="B444" s="213"/>
      <c r="C444" s="75"/>
      <c r="D444" s="75">
        <v>2020</v>
      </c>
      <c r="E444" s="77">
        <f t="shared" si="42"/>
        <v>5667.1</v>
      </c>
      <c r="F444" s="81">
        <v>0</v>
      </c>
      <c r="G444" s="77">
        <v>5667.1</v>
      </c>
      <c r="H444" s="77">
        <v>0</v>
      </c>
      <c r="I444" s="77">
        <v>0</v>
      </c>
      <c r="J444" s="77">
        <v>0</v>
      </c>
      <c r="K444" s="80"/>
      <c r="L444" s="155"/>
      <c r="M444" s="143"/>
    </row>
    <row r="445" ht="24.95" customHeight="1" spans="1:13">
      <c r="A445" s="107"/>
      <c r="B445" s="213"/>
      <c r="C445" s="75"/>
      <c r="D445" s="75">
        <v>2021</v>
      </c>
      <c r="E445" s="77">
        <f t="shared" si="42"/>
        <v>3376.6</v>
      </c>
      <c r="F445" s="81">
        <v>0</v>
      </c>
      <c r="G445" s="77">
        <v>3376.6</v>
      </c>
      <c r="H445" s="77">
        <v>0</v>
      </c>
      <c r="I445" s="77">
        <v>0</v>
      </c>
      <c r="J445" s="77">
        <v>0</v>
      </c>
      <c r="K445" s="80"/>
      <c r="L445" s="155"/>
      <c r="M445" s="143"/>
    </row>
    <row r="446" ht="24.95" customHeight="1" spans="1:13">
      <c r="A446" s="107"/>
      <c r="B446" s="213"/>
      <c r="C446" s="75"/>
      <c r="D446" s="75">
        <v>2022</v>
      </c>
      <c r="E446" s="77">
        <f t="shared" si="42"/>
        <v>6452.5</v>
      </c>
      <c r="F446" s="81">
        <v>0</v>
      </c>
      <c r="G446" s="77">
        <f>3927+1807.5+718</f>
        <v>6452.5</v>
      </c>
      <c r="H446" s="77">
        <v>0</v>
      </c>
      <c r="I446" s="77">
        <v>0</v>
      </c>
      <c r="J446" s="77">
        <v>0</v>
      </c>
      <c r="K446" s="80"/>
      <c r="L446" s="155"/>
      <c r="M446" s="143"/>
    </row>
    <row r="447" ht="24.95" customHeight="1" spans="1:13">
      <c r="A447" s="107"/>
      <c r="B447" s="213"/>
      <c r="C447" s="75"/>
      <c r="D447" s="75">
        <v>2023</v>
      </c>
      <c r="E447" s="77">
        <f t="shared" si="42"/>
        <v>3372.5</v>
      </c>
      <c r="F447" s="81">
        <v>0</v>
      </c>
      <c r="G447" s="77">
        <f>3047.4+325.1</f>
        <v>3372.5</v>
      </c>
      <c r="H447" s="77">
        <v>0</v>
      </c>
      <c r="I447" s="77">
        <v>0</v>
      </c>
      <c r="J447" s="77">
        <v>0</v>
      </c>
      <c r="K447" s="80"/>
      <c r="L447" s="155"/>
      <c r="M447" s="143"/>
    </row>
    <row r="448" ht="24.95" customHeight="1" spans="1:13">
      <c r="A448" s="107"/>
      <c r="B448" s="213"/>
      <c r="C448" s="75"/>
      <c r="D448" s="75">
        <v>2024</v>
      </c>
      <c r="E448" s="77">
        <f t="shared" si="42"/>
        <v>4058.4</v>
      </c>
      <c r="F448" s="81">
        <v>0</v>
      </c>
      <c r="G448" s="77">
        <f>3908.9+149.5</f>
        <v>4058.4</v>
      </c>
      <c r="H448" s="77">
        <v>0</v>
      </c>
      <c r="I448" s="77">
        <v>0</v>
      </c>
      <c r="J448" s="77">
        <v>0</v>
      </c>
      <c r="K448" s="80"/>
      <c r="L448" s="155"/>
      <c r="M448" s="143"/>
    </row>
    <row r="449" ht="24.95" customHeight="1" spans="1:13">
      <c r="A449" s="107"/>
      <c r="B449" s="213"/>
      <c r="C449" s="75"/>
      <c r="D449" s="75">
        <v>2025</v>
      </c>
      <c r="E449" s="77">
        <f t="shared" si="42"/>
        <v>4896.7</v>
      </c>
      <c r="F449" s="81">
        <v>0</v>
      </c>
      <c r="G449" s="77">
        <f>3590.4+907.3+399</f>
        <v>4896.7</v>
      </c>
      <c r="H449" s="77">
        <v>0</v>
      </c>
      <c r="I449" s="77">
        <v>0</v>
      </c>
      <c r="J449" s="77">
        <v>0</v>
      </c>
      <c r="K449" s="80"/>
      <c r="L449" s="155"/>
      <c r="M449" s="143"/>
    </row>
    <row r="450" ht="24.95" customHeight="1" spans="1:13">
      <c r="A450" s="107"/>
      <c r="B450" s="213"/>
      <c r="C450" s="75"/>
      <c r="D450" s="75">
        <v>2026</v>
      </c>
      <c r="E450" s="77">
        <f t="shared" ref="E450" si="48">F450+G450+H450+J450</f>
        <v>5376.9</v>
      </c>
      <c r="F450" s="81">
        <v>0</v>
      </c>
      <c r="G450" s="77">
        <f>5376.9</f>
        <v>5376.9</v>
      </c>
      <c r="H450" s="77">
        <v>0</v>
      </c>
      <c r="I450" s="77">
        <v>0</v>
      </c>
      <c r="J450" s="77">
        <v>0</v>
      </c>
      <c r="K450" s="80"/>
      <c r="L450" s="155"/>
      <c r="M450" s="143"/>
    </row>
    <row r="451" ht="24.95" customHeight="1" spans="1:13">
      <c r="A451" s="107"/>
      <c r="B451" s="213"/>
      <c r="C451" s="75"/>
      <c r="D451" s="75">
        <v>2027</v>
      </c>
      <c r="E451" s="77">
        <f t="shared" si="42"/>
        <v>5592.5</v>
      </c>
      <c r="F451" s="81">
        <v>0</v>
      </c>
      <c r="G451" s="77">
        <v>5592.5</v>
      </c>
      <c r="H451" s="77">
        <v>0</v>
      </c>
      <c r="I451" s="77">
        <v>0</v>
      </c>
      <c r="J451" s="77">
        <v>0</v>
      </c>
      <c r="K451" s="80"/>
      <c r="L451" s="155"/>
      <c r="M451" s="143"/>
    </row>
    <row r="452" s="23" customFormat="1" ht="24.95" customHeight="1" spans="1:13">
      <c r="A452" s="107"/>
      <c r="B452" s="213"/>
      <c r="C452" s="75"/>
      <c r="D452" s="75">
        <v>2028</v>
      </c>
      <c r="E452" s="77">
        <f>F452+G452+H452+I452+J452</f>
        <v>5619.9</v>
      </c>
      <c r="F452" s="81">
        <v>0</v>
      </c>
      <c r="G452" s="77">
        <v>5619.9</v>
      </c>
      <c r="H452" s="77">
        <v>0</v>
      </c>
      <c r="I452" s="77">
        <v>0</v>
      </c>
      <c r="J452" s="77">
        <v>0</v>
      </c>
      <c r="K452" s="80"/>
      <c r="L452" s="155"/>
      <c r="M452" s="194"/>
    </row>
    <row r="453" ht="23.1" customHeight="1" spans="1:13">
      <c r="A453" s="107" t="s">
        <v>232</v>
      </c>
      <c r="B453" s="213" t="s">
        <v>233</v>
      </c>
      <c r="C453" s="75" t="e">
        <f>#REF!+#REF!+#REF!+#REF!+#REF!+#REF!+#REF!+#REF!</f>
        <v>#REF!</v>
      </c>
      <c r="D453" s="181">
        <v>2018</v>
      </c>
      <c r="E453" s="88">
        <f t="shared" si="42"/>
        <v>6287.5</v>
      </c>
      <c r="F453" s="88">
        <v>0</v>
      </c>
      <c r="G453" s="88">
        <v>3143.7</v>
      </c>
      <c r="H453" s="88">
        <v>3143.8</v>
      </c>
      <c r="I453" s="88">
        <v>3143.7</v>
      </c>
      <c r="J453" s="88">
        <v>0</v>
      </c>
      <c r="K453" s="80" t="s">
        <v>234</v>
      </c>
      <c r="L453" s="155" t="s">
        <v>211</v>
      </c>
      <c r="M453" s="143"/>
    </row>
    <row r="454" ht="23.1" customHeight="1" spans="1:13">
      <c r="A454" s="107"/>
      <c r="B454" s="213"/>
      <c r="C454" s="75"/>
      <c r="D454" s="76">
        <v>2019</v>
      </c>
      <c r="E454" s="77">
        <f t="shared" si="42"/>
        <v>3490.8</v>
      </c>
      <c r="F454" s="77">
        <v>0</v>
      </c>
      <c r="G454" s="77">
        <v>1650.3</v>
      </c>
      <c r="H454" s="77">
        <v>1840.5</v>
      </c>
      <c r="I454" s="77">
        <v>1650.5</v>
      </c>
      <c r="J454" s="77">
        <v>0</v>
      </c>
      <c r="K454" s="80"/>
      <c r="L454" s="155"/>
      <c r="M454" s="143"/>
    </row>
    <row r="455" ht="23.1" customHeight="1" spans="1:13">
      <c r="A455" s="107"/>
      <c r="B455" s="213"/>
      <c r="C455" s="75"/>
      <c r="D455" s="80">
        <v>2020</v>
      </c>
      <c r="E455" s="77">
        <f t="shared" si="42"/>
        <v>133</v>
      </c>
      <c r="F455" s="86">
        <v>0</v>
      </c>
      <c r="G455" s="77">
        <v>0</v>
      </c>
      <c r="H455" s="77">
        <v>133</v>
      </c>
      <c r="I455" s="77">
        <v>0</v>
      </c>
      <c r="J455" s="77">
        <v>0</v>
      </c>
      <c r="K455" s="80"/>
      <c r="L455" s="155"/>
      <c r="M455" s="143"/>
    </row>
    <row r="456" ht="23.1" customHeight="1" spans="1:13">
      <c r="A456" s="107"/>
      <c r="B456" s="213"/>
      <c r="C456" s="75"/>
      <c r="D456" s="80">
        <v>2021</v>
      </c>
      <c r="E456" s="77">
        <f t="shared" si="42"/>
        <v>0</v>
      </c>
      <c r="F456" s="86">
        <v>0</v>
      </c>
      <c r="G456" s="77">
        <v>0</v>
      </c>
      <c r="H456" s="77">
        <v>0</v>
      </c>
      <c r="I456" s="77">
        <v>0</v>
      </c>
      <c r="J456" s="77">
        <v>0</v>
      </c>
      <c r="K456" s="80"/>
      <c r="L456" s="155"/>
      <c r="M456" s="143"/>
    </row>
    <row r="457" ht="23.1" customHeight="1" spans="1:13">
      <c r="A457" s="107"/>
      <c r="B457" s="213"/>
      <c r="C457" s="75"/>
      <c r="D457" s="80">
        <v>2022</v>
      </c>
      <c r="E457" s="77">
        <f t="shared" si="42"/>
        <v>50</v>
      </c>
      <c r="F457" s="86">
        <v>0</v>
      </c>
      <c r="G457" s="77">
        <v>0</v>
      </c>
      <c r="H457" s="77">
        <f>180.5-80.5-50</f>
        <v>50</v>
      </c>
      <c r="I457" s="77">
        <v>0</v>
      </c>
      <c r="J457" s="77">
        <v>0</v>
      </c>
      <c r="K457" s="80"/>
      <c r="L457" s="155"/>
      <c r="M457" s="143"/>
    </row>
    <row r="458" ht="23.1" customHeight="1" spans="1:13">
      <c r="A458" s="107"/>
      <c r="B458" s="213"/>
      <c r="C458" s="75"/>
      <c r="D458" s="80">
        <v>2023</v>
      </c>
      <c r="E458" s="77">
        <f t="shared" si="42"/>
        <v>0</v>
      </c>
      <c r="F458" s="86">
        <v>0</v>
      </c>
      <c r="G458" s="77">
        <v>0</v>
      </c>
      <c r="H458" s="77">
        <v>0</v>
      </c>
      <c r="I458" s="77">
        <v>0</v>
      </c>
      <c r="J458" s="77">
        <v>0</v>
      </c>
      <c r="K458" s="80"/>
      <c r="L458" s="155"/>
      <c r="M458" s="143"/>
    </row>
    <row r="459" ht="23.1" customHeight="1" spans="1:13">
      <c r="A459" s="107"/>
      <c r="B459" s="213"/>
      <c r="C459" s="75"/>
      <c r="D459" s="80">
        <v>2024</v>
      </c>
      <c r="E459" s="77">
        <f t="shared" si="42"/>
        <v>0</v>
      </c>
      <c r="F459" s="86">
        <v>0</v>
      </c>
      <c r="G459" s="77">
        <v>0</v>
      </c>
      <c r="H459" s="87">
        <v>0</v>
      </c>
      <c r="I459" s="77">
        <v>0</v>
      </c>
      <c r="J459" s="77">
        <v>0</v>
      </c>
      <c r="K459" s="80"/>
      <c r="L459" s="155"/>
      <c r="M459" s="143"/>
    </row>
    <row r="460" ht="23.1" customHeight="1" spans="1:13">
      <c r="A460" s="107"/>
      <c r="B460" s="213"/>
      <c r="C460" s="75"/>
      <c r="D460" s="80">
        <v>2025</v>
      </c>
      <c r="E460" s="77">
        <f t="shared" ref="E460:E462" si="49">F460+G460+H460+J460</f>
        <v>2267.5</v>
      </c>
      <c r="F460" s="86">
        <v>0</v>
      </c>
      <c r="G460" s="77">
        <v>0</v>
      </c>
      <c r="H460" s="77">
        <f>2267.5</f>
        <v>2267.5</v>
      </c>
      <c r="I460" s="77">
        <v>0</v>
      </c>
      <c r="J460" s="77">
        <v>0</v>
      </c>
      <c r="K460" s="80"/>
      <c r="L460" s="155"/>
      <c r="M460" s="143"/>
    </row>
    <row r="461" ht="23.1" customHeight="1" spans="1:13">
      <c r="A461" s="107"/>
      <c r="B461" s="213"/>
      <c r="C461" s="75"/>
      <c r="D461" s="80">
        <v>2026</v>
      </c>
      <c r="E461" s="77">
        <f t="shared" si="49"/>
        <v>0</v>
      </c>
      <c r="F461" s="86">
        <v>0</v>
      </c>
      <c r="G461" s="77">
        <v>0</v>
      </c>
      <c r="H461" s="77">
        <v>0</v>
      </c>
      <c r="I461" s="77">
        <v>0</v>
      </c>
      <c r="J461" s="77">
        <v>0</v>
      </c>
      <c r="K461" s="80"/>
      <c r="L461" s="155"/>
      <c r="M461" s="143"/>
    </row>
    <row r="462" ht="23.1" customHeight="1" spans="1:13">
      <c r="A462" s="107"/>
      <c r="B462" s="213"/>
      <c r="C462" s="75"/>
      <c r="D462" s="80">
        <v>2027</v>
      </c>
      <c r="E462" s="77">
        <f t="shared" si="49"/>
        <v>0</v>
      </c>
      <c r="F462" s="86">
        <v>0</v>
      </c>
      <c r="G462" s="77">
        <v>0</v>
      </c>
      <c r="H462" s="77">
        <v>0</v>
      </c>
      <c r="I462" s="77">
        <v>0</v>
      </c>
      <c r="J462" s="77">
        <v>0</v>
      </c>
      <c r="K462" s="80"/>
      <c r="L462" s="155"/>
      <c r="M462" s="143"/>
    </row>
    <row r="463" ht="23.1" customHeight="1" spans="1:13">
      <c r="A463" s="107"/>
      <c r="B463" s="213"/>
      <c r="C463" s="75"/>
      <c r="D463" s="80">
        <v>2028</v>
      </c>
      <c r="E463" s="77">
        <f>F463+G463+H463+I463+J463</f>
        <v>0</v>
      </c>
      <c r="F463" s="86">
        <v>0</v>
      </c>
      <c r="G463" s="77">
        <v>0</v>
      </c>
      <c r="H463" s="77">
        <v>0</v>
      </c>
      <c r="I463" s="77">
        <v>0</v>
      </c>
      <c r="J463" s="77">
        <v>0</v>
      </c>
      <c r="K463" s="80"/>
      <c r="L463" s="155"/>
      <c r="M463" s="143"/>
    </row>
    <row r="464" ht="21" customHeight="1" spans="1:13">
      <c r="A464" s="107" t="s">
        <v>235</v>
      </c>
      <c r="B464" s="213" t="s">
        <v>236</v>
      </c>
      <c r="C464" s="75" t="e">
        <f>#REF!+#REF!+#REF!+#REF!+#REF!+#REF!+#REF!+#REF!</f>
        <v>#REF!</v>
      </c>
      <c r="D464" s="76">
        <v>2018</v>
      </c>
      <c r="E464" s="77">
        <f t="shared" si="42"/>
        <v>0</v>
      </c>
      <c r="F464" s="77">
        <v>0</v>
      </c>
      <c r="G464" s="77">
        <v>0</v>
      </c>
      <c r="H464" s="77">
        <v>0</v>
      </c>
      <c r="I464" s="77">
        <v>0</v>
      </c>
      <c r="J464" s="77">
        <v>0</v>
      </c>
      <c r="K464" s="80" t="s">
        <v>237</v>
      </c>
      <c r="L464" s="155" t="s">
        <v>211</v>
      </c>
      <c r="M464" s="143"/>
    </row>
    <row r="465" ht="21" customHeight="1" spans="1:13">
      <c r="A465" s="107"/>
      <c r="B465" s="213"/>
      <c r="C465" s="75"/>
      <c r="D465" s="76">
        <v>2019</v>
      </c>
      <c r="E465" s="77">
        <f t="shared" si="42"/>
        <v>0</v>
      </c>
      <c r="F465" s="77">
        <v>0</v>
      </c>
      <c r="G465" s="77">
        <v>0</v>
      </c>
      <c r="H465" s="77">
        <v>0</v>
      </c>
      <c r="I465" s="77">
        <v>0</v>
      </c>
      <c r="J465" s="77">
        <v>0</v>
      </c>
      <c r="K465" s="80"/>
      <c r="L465" s="155"/>
      <c r="M465" s="143"/>
    </row>
    <row r="466" ht="21" customHeight="1" spans="1:13">
      <c r="A466" s="107"/>
      <c r="B466" s="213"/>
      <c r="C466" s="75"/>
      <c r="D466" s="80">
        <v>2020</v>
      </c>
      <c r="E466" s="77">
        <f t="shared" si="42"/>
        <v>0</v>
      </c>
      <c r="F466" s="86">
        <v>0</v>
      </c>
      <c r="G466" s="77">
        <v>0</v>
      </c>
      <c r="H466" s="77">
        <v>0</v>
      </c>
      <c r="I466" s="77">
        <v>0</v>
      </c>
      <c r="J466" s="77">
        <v>0</v>
      </c>
      <c r="K466" s="80"/>
      <c r="L466" s="155"/>
      <c r="M466" s="143"/>
    </row>
    <row r="467" ht="21" customHeight="1" spans="1:13">
      <c r="A467" s="107"/>
      <c r="B467" s="213"/>
      <c r="C467" s="75"/>
      <c r="D467" s="80">
        <v>2021</v>
      </c>
      <c r="E467" s="77">
        <f t="shared" si="42"/>
        <v>0</v>
      </c>
      <c r="F467" s="86">
        <v>0</v>
      </c>
      <c r="G467" s="77">
        <v>0</v>
      </c>
      <c r="H467" s="77">
        <v>0</v>
      </c>
      <c r="I467" s="77">
        <v>0</v>
      </c>
      <c r="J467" s="77">
        <v>0</v>
      </c>
      <c r="K467" s="80"/>
      <c r="L467" s="155"/>
      <c r="M467" s="143"/>
    </row>
    <row r="468" ht="21" customHeight="1" spans="1:13">
      <c r="A468" s="107"/>
      <c r="B468" s="213"/>
      <c r="C468" s="75"/>
      <c r="D468" s="80">
        <v>2022</v>
      </c>
      <c r="E468" s="77">
        <f t="shared" si="42"/>
        <v>7283.5</v>
      </c>
      <c r="F468" s="86">
        <v>0</v>
      </c>
      <c r="G468" s="77">
        <f>4018-3</f>
        <v>4015</v>
      </c>
      <c r="H468" s="77">
        <f>2978+292.8-2-0.3</f>
        <v>3268.5</v>
      </c>
      <c r="I468" s="77">
        <f>446.5-0.3</f>
        <v>446.2</v>
      </c>
      <c r="J468" s="77">
        <v>0</v>
      </c>
      <c r="K468" s="80"/>
      <c r="L468" s="155"/>
      <c r="M468" s="143"/>
    </row>
    <row r="469" ht="21" customHeight="1" spans="1:13">
      <c r="A469" s="107"/>
      <c r="B469" s="213"/>
      <c r="C469" s="75"/>
      <c r="D469" s="80">
        <v>2023</v>
      </c>
      <c r="E469" s="77">
        <f t="shared" si="42"/>
        <v>0</v>
      </c>
      <c r="F469" s="86">
        <v>0</v>
      </c>
      <c r="G469" s="77">
        <v>0</v>
      </c>
      <c r="H469" s="77">
        <v>0</v>
      </c>
      <c r="I469" s="77">
        <v>0</v>
      </c>
      <c r="J469" s="77">
        <v>0</v>
      </c>
      <c r="K469" s="80"/>
      <c r="L469" s="155"/>
      <c r="M469" s="143"/>
    </row>
    <row r="470" ht="21" customHeight="1" spans="1:13">
      <c r="A470" s="107"/>
      <c r="B470" s="213"/>
      <c r="C470" s="75"/>
      <c r="D470" s="80">
        <v>2024</v>
      </c>
      <c r="E470" s="77">
        <f t="shared" si="42"/>
        <v>0</v>
      </c>
      <c r="F470" s="86">
        <v>0</v>
      </c>
      <c r="G470" s="77">
        <v>0</v>
      </c>
      <c r="H470" s="87">
        <v>0</v>
      </c>
      <c r="I470" s="87">
        <v>0</v>
      </c>
      <c r="J470" s="77">
        <v>0</v>
      </c>
      <c r="K470" s="80"/>
      <c r="L470" s="155"/>
      <c r="M470" s="143"/>
    </row>
    <row r="471" ht="21" customHeight="1" spans="1:13">
      <c r="A471" s="107"/>
      <c r="B471" s="213"/>
      <c r="C471" s="75"/>
      <c r="D471" s="80">
        <v>2025</v>
      </c>
      <c r="E471" s="77">
        <f t="shared" si="42"/>
        <v>0</v>
      </c>
      <c r="F471" s="86">
        <v>0</v>
      </c>
      <c r="G471" s="77">
        <v>0</v>
      </c>
      <c r="H471" s="87">
        <v>0</v>
      </c>
      <c r="I471" s="87">
        <v>0</v>
      </c>
      <c r="J471" s="77">
        <v>0</v>
      </c>
      <c r="K471" s="80"/>
      <c r="L471" s="155"/>
      <c r="M471" s="143"/>
    </row>
    <row r="472" ht="21" customHeight="1" spans="1:13">
      <c r="A472" s="107"/>
      <c r="B472" s="213"/>
      <c r="C472" s="75"/>
      <c r="D472" s="80">
        <v>2026</v>
      </c>
      <c r="E472" s="77">
        <f t="shared" ref="E472" si="50">F472+G472+H472+J472</f>
        <v>0</v>
      </c>
      <c r="F472" s="86">
        <v>0</v>
      </c>
      <c r="G472" s="77">
        <v>0</v>
      </c>
      <c r="H472" s="87">
        <v>0</v>
      </c>
      <c r="I472" s="87">
        <v>0</v>
      </c>
      <c r="J472" s="77">
        <v>0</v>
      </c>
      <c r="K472" s="80"/>
      <c r="L472" s="155"/>
      <c r="M472" s="143"/>
    </row>
    <row r="473" ht="21" customHeight="1" spans="1:13">
      <c r="A473" s="107"/>
      <c r="B473" s="213"/>
      <c r="C473" s="75"/>
      <c r="D473" s="80">
        <v>2027</v>
      </c>
      <c r="E473" s="77">
        <f t="shared" si="42"/>
        <v>0</v>
      </c>
      <c r="F473" s="86">
        <v>0</v>
      </c>
      <c r="G473" s="77">
        <v>0</v>
      </c>
      <c r="H473" s="87">
        <v>0</v>
      </c>
      <c r="I473" s="87">
        <v>0</v>
      </c>
      <c r="J473" s="77">
        <v>0</v>
      </c>
      <c r="K473" s="80"/>
      <c r="L473" s="155"/>
      <c r="M473" s="143"/>
    </row>
    <row r="474" ht="21.75" customHeight="1" spans="1:13">
      <c r="A474" s="107"/>
      <c r="B474" s="213"/>
      <c r="C474" s="75"/>
      <c r="D474" s="80">
        <v>2028</v>
      </c>
      <c r="E474" s="77">
        <f>F474+G474+H474+I474+J474</f>
        <v>0</v>
      </c>
      <c r="F474" s="86">
        <v>0</v>
      </c>
      <c r="G474" s="77">
        <v>0</v>
      </c>
      <c r="H474" s="87">
        <v>0</v>
      </c>
      <c r="I474" s="87">
        <v>0</v>
      </c>
      <c r="J474" s="77">
        <v>0</v>
      </c>
      <c r="K474" s="80"/>
      <c r="L474" s="155"/>
      <c r="M474" s="143"/>
    </row>
    <row r="475" ht="18.95" customHeight="1" spans="1:13">
      <c r="A475" s="107" t="s">
        <v>238</v>
      </c>
      <c r="B475" s="213" t="s">
        <v>239</v>
      </c>
      <c r="C475" s="75" t="e">
        <f>#REF!+#REF!+#REF!+#REF!+#REF!+#REF!+#REF!+#REF!</f>
        <v>#REF!</v>
      </c>
      <c r="D475" s="76">
        <v>2018</v>
      </c>
      <c r="E475" s="77">
        <f t="shared" si="42"/>
        <v>2756.1</v>
      </c>
      <c r="F475" s="77">
        <v>0</v>
      </c>
      <c r="G475" s="77">
        <v>0</v>
      </c>
      <c r="H475" s="77">
        <v>2756.1</v>
      </c>
      <c r="I475" s="77">
        <v>0</v>
      </c>
      <c r="J475" s="77">
        <v>0</v>
      </c>
      <c r="K475" s="80" t="s">
        <v>240</v>
      </c>
      <c r="L475" s="155" t="s">
        <v>35</v>
      </c>
      <c r="M475" s="143"/>
    </row>
    <row r="476" ht="18.95" customHeight="1" spans="1:13">
      <c r="A476" s="107"/>
      <c r="B476" s="213"/>
      <c r="C476" s="75"/>
      <c r="D476" s="76">
        <v>2019</v>
      </c>
      <c r="E476" s="77">
        <f t="shared" ref="E476:E563" si="51">F476+G476+H476+J476</f>
        <v>1148.3</v>
      </c>
      <c r="F476" s="77">
        <v>0</v>
      </c>
      <c r="G476" s="77">
        <v>0</v>
      </c>
      <c r="H476" s="77">
        <v>1148.3</v>
      </c>
      <c r="I476" s="77">
        <v>0</v>
      </c>
      <c r="J476" s="77">
        <v>0</v>
      </c>
      <c r="K476" s="80"/>
      <c r="L476" s="155"/>
      <c r="M476" s="143"/>
    </row>
    <row r="477" ht="18.95" customHeight="1" spans="1:13">
      <c r="A477" s="107"/>
      <c r="B477" s="213"/>
      <c r="C477" s="75"/>
      <c r="D477" s="80">
        <v>2020</v>
      </c>
      <c r="E477" s="77">
        <f t="shared" si="51"/>
        <v>0</v>
      </c>
      <c r="F477" s="86">
        <v>0</v>
      </c>
      <c r="G477" s="77">
        <v>0</v>
      </c>
      <c r="H477" s="77">
        <v>0</v>
      </c>
      <c r="I477" s="77">
        <v>0</v>
      </c>
      <c r="J477" s="77">
        <v>0</v>
      </c>
      <c r="K477" s="80"/>
      <c r="L477" s="155"/>
      <c r="M477" s="143"/>
    </row>
    <row r="478" ht="18.95" customHeight="1" spans="1:13">
      <c r="A478" s="107"/>
      <c r="B478" s="213"/>
      <c r="C478" s="75"/>
      <c r="D478" s="80">
        <v>2021</v>
      </c>
      <c r="E478" s="77">
        <f t="shared" si="51"/>
        <v>0</v>
      </c>
      <c r="F478" s="86">
        <v>0</v>
      </c>
      <c r="G478" s="77">
        <v>0</v>
      </c>
      <c r="H478" s="77">
        <v>0</v>
      </c>
      <c r="I478" s="77">
        <v>0</v>
      </c>
      <c r="J478" s="77">
        <v>0</v>
      </c>
      <c r="K478" s="80"/>
      <c r="L478" s="155"/>
      <c r="M478" s="143"/>
    </row>
    <row r="479" ht="18.95" customHeight="1" spans="1:13">
      <c r="A479" s="107"/>
      <c r="B479" s="213"/>
      <c r="C479" s="75"/>
      <c r="D479" s="80">
        <v>2022</v>
      </c>
      <c r="E479" s="77">
        <f t="shared" si="51"/>
        <v>0</v>
      </c>
      <c r="F479" s="86">
        <v>0</v>
      </c>
      <c r="G479" s="77">
        <v>0</v>
      </c>
      <c r="H479" s="77">
        <v>0</v>
      </c>
      <c r="I479" s="77">
        <v>0</v>
      </c>
      <c r="J479" s="77">
        <v>0</v>
      </c>
      <c r="K479" s="80"/>
      <c r="L479" s="155"/>
      <c r="M479" s="143"/>
    </row>
    <row r="480" ht="18.95" customHeight="1" spans="1:13">
      <c r="A480" s="107"/>
      <c r="B480" s="213"/>
      <c r="C480" s="75"/>
      <c r="D480" s="80">
        <v>2023</v>
      </c>
      <c r="E480" s="77">
        <f t="shared" si="51"/>
        <v>0</v>
      </c>
      <c r="F480" s="86">
        <v>0</v>
      </c>
      <c r="G480" s="77">
        <v>0</v>
      </c>
      <c r="H480" s="77">
        <v>0</v>
      </c>
      <c r="I480" s="77">
        <v>0</v>
      </c>
      <c r="J480" s="77">
        <v>0</v>
      </c>
      <c r="K480" s="80"/>
      <c r="L480" s="155"/>
      <c r="M480" s="143"/>
    </row>
    <row r="481" ht="18.95" customHeight="1" spans="1:13">
      <c r="A481" s="107"/>
      <c r="B481" s="213"/>
      <c r="C481" s="75"/>
      <c r="D481" s="80">
        <v>2024</v>
      </c>
      <c r="E481" s="77">
        <f t="shared" si="51"/>
        <v>0</v>
      </c>
      <c r="F481" s="86">
        <v>0</v>
      </c>
      <c r="G481" s="77">
        <v>0</v>
      </c>
      <c r="H481" s="77">
        <v>0</v>
      </c>
      <c r="I481" s="77">
        <v>0</v>
      </c>
      <c r="J481" s="77">
        <v>0</v>
      </c>
      <c r="K481" s="80"/>
      <c r="L481" s="155"/>
      <c r="M481" s="143"/>
    </row>
    <row r="482" ht="18.95" customHeight="1" spans="1:13">
      <c r="A482" s="107"/>
      <c r="B482" s="213"/>
      <c r="C482" s="75"/>
      <c r="D482" s="80">
        <v>2025</v>
      </c>
      <c r="E482" s="77">
        <f t="shared" si="51"/>
        <v>0</v>
      </c>
      <c r="F482" s="86">
        <v>0</v>
      </c>
      <c r="G482" s="77">
        <v>0</v>
      </c>
      <c r="H482" s="77">
        <v>0</v>
      </c>
      <c r="I482" s="77">
        <v>0</v>
      </c>
      <c r="J482" s="77">
        <v>0</v>
      </c>
      <c r="K482" s="80"/>
      <c r="L482" s="155"/>
      <c r="M482" s="143"/>
    </row>
    <row r="483" ht="18.95" customHeight="1" spans="1:13">
      <c r="A483" s="107"/>
      <c r="B483" s="213"/>
      <c r="C483" s="75"/>
      <c r="D483" s="80">
        <v>2026</v>
      </c>
      <c r="E483" s="77">
        <f t="shared" ref="E483" si="52">F483+G483+H483+J483</f>
        <v>0</v>
      </c>
      <c r="F483" s="86">
        <v>0</v>
      </c>
      <c r="G483" s="77">
        <v>0</v>
      </c>
      <c r="H483" s="77">
        <v>0</v>
      </c>
      <c r="I483" s="77">
        <v>0</v>
      </c>
      <c r="J483" s="77">
        <v>0</v>
      </c>
      <c r="K483" s="80"/>
      <c r="L483" s="155"/>
      <c r="M483" s="143"/>
    </row>
    <row r="484" ht="18.95" customHeight="1" spans="1:13">
      <c r="A484" s="107"/>
      <c r="B484" s="213"/>
      <c r="C484" s="75"/>
      <c r="D484" s="80">
        <v>2027</v>
      </c>
      <c r="E484" s="77">
        <f t="shared" si="51"/>
        <v>0</v>
      </c>
      <c r="F484" s="86">
        <v>0</v>
      </c>
      <c r="G484" s="77">
        <v>0</v>
      </c>
      <c r="H484" s="77">
        <v>0</v>
      </c>
      <c r="I484" s="77">
        <v>0</v>
      </c>
      <c r="J484" s="77">
        <v>0</v>
      </c>
      <c r="K484" s="80"/>
      <c r="L484" s="155"/>
      <c r="M484" s="143"/>
    </row>
    <row r="485" ht="18.95" customHeight="1" spans="1:13">
      <c r="A485" s="107"/>
      <c r="B485" s="213"/>
      <c r="C485" s="75"/>
      <c r="D485" s="80">
        <v>2028</v>
      </c>
      <c r="E485" s="77">
        <f>F485+G485+H485+I485+J485</f>
        <v>0</v>
      </c>
      <c r="F485" s="86">
        <v>0</v>
      </c>
      <c r="G485" s="77">
        <v>0</v>
      </c>
      <c r="H485" s="77">
        <v>0</v>
      </c>
      <c r="I485" s="77">
        <v>0</v>
      </c>
      <c r="J485" s="77">
        <v>0</v>
      </c>
      <c r="K485" s="80"/>
      <c r="L485" s="155"/>
      <c r="M485" s="143"/>
    </row>
    <row r="486" ht="23.45" customHeight="1" spans="1:13">
      <c r="A486" s="107" t="s">
        <v>241</v>
      </c>
      <c r="B486" s="213" t="s">
        <v>242</v>
      </c>
      <c r="C486" s="75" t="e">
        <f>#REF!+#REF!+#REF!+#REF!+#REF!+#REF!+#REF!+#REF!</f>
        <v>#REF!</v>
      </c>
      <c r="D486" s="76">
        <v>2018</v>
      </c>
      <c r="E486" s="77">
        <f t="shared" si="51"/>
        <v>0</v>
      </c>
      <c r="F486" s="77">
        <v>0</v>
      </c>
      <c r="G486" s="77">
        <v>0</v>
      </c>
      <c r="H486" s="77">
        <v>0</v>
      </c>
      <c r="I486" s="77">
        <v>0</v>
      </c>
      <c r="J486" s="77">
        <v>0</v>
      </c>
      <c r="K486" s="80" t="s">
        <v>243</v>
      </c>
      <c r="L486" s="155" t="s">
        <v>35</v>
      </c>
      <c r="M486" s="143"/>
    </row>
    <row r="487" ht="23.45" customHeight="1" spans="1:13">
      <c r="A487" s="107"/>
      <c r="B487" s="213"/>
      <c r="C487" s="75"/>
      <c r="D487" s="76">
        <v>2019</v>
      </c>
      <c r="E487" s="77">
        <f t="shared" si="51"/>
        <v>0</v>
      </c>
      <c r="F487" s="77">
        <v>0</v>
      </c>
      <c r="G487" s="77">
        <v>0</v>
      </c>
      <c r="H487" s="77">
        <v>0</v>
      </c>
      <c r="I487" s="77">
        <v>0</v>
      </c>
      <c r="J487" s="77">
        <v>0</v>
      </c>
      <c r="K487" s="80"/>
      <c r="L487" s="155"/>
      <c r="M487" s="143"/>
    </row>
    <row r="488" ht="23.45" customHeight="1" spans="1:13">
      <c r="A488" s="107"/>
      <c r="B488" s="213"/>
      <c r="C488" s="75"/>
      <c r="D488" s="80">
        <v>2020</v>
      </c>
      <c r="E488" s="77">
        <f t="shared" si="51"/>
        <v>1575.9</v>
      </c>
      <c r="F488" s="86">
        <v>0</v>
      </c>
      <c r="G488" s="77">
        <v>0</v>
      </c>
      <c r="H488" s="77">
        <v>1575.9</v>
      </c>
      <c r="I488" s="77">
        <v>0</v>
      </c>
      <c r="J488" s="77">
        <v>0</v>
      </c>
      <c r="K488" s="80"/>
      <c r="L488" s="155"/>
      <c r="M488" s="143"/>
    </row>
    <row r="489" ht="23.45" customHeight="1" spans="1:13">
      <c r="A489" s="107"/>
      <c r="B489" s="213"/>
      <c r="C489" s="75"/>
      <c r="D489" s="80">
        <v>2021</v>
      </c>
      <c r="E489" s="77">
        <f t="shared" si="51"/>
        <v>1613.8</v>
      </c>
      <c r="F489" s="86">
        <v>0</v>
      </c>
      <c r="G489" s="77">
        <v>0</v>
      </c>
      <c r="H489" s="77">
        <v>1613.8</v>
      </c>
      <c r="I489" s="77">
        <v>0</v>
      </c>
      <c r="J489" s="77">
        <v>0</v>
      </c>
      <c r="K489" s="80"/>
      <c r="L489" s="155"/>
      <c r="M489" s="143"/>
    </row>
    <row r="490" ht="23.45" customHeight="1" spans="1:13">
      <c r="A490" s="107"/>
      <c r="B490" s="213"/>
      <c r="C490" s="75"/>
      <c r="D490" s="80">
        <v>2022</v>
      </c>
      <c r="E490" s="77">
        <f t="shared" si="51"/>
        <v>1505.9</v>
      </c>
      <c r="F490" s="86">
        <v>0</v>
      </c>
      <c r="G490" s="77">
        <v>0</v>
      </c>
      <c r="H490" s="77">
        <f>1667.1-46.5-114.7</f>
        <v>1505.9</v>
      </c>
      <c r="I490" s="77">
        <v>0</v>
      </c>
      <c r="J490" s="77">
        <v>0</v>
      </c>
      <c r="K490" s="80"/>
      <c r="L490" s="155"/>
      <c r="M490" s="143"/>
    </row>
    <row r="491" ht="23.45" customHeight="1" spans="1:13">
      <c r="A491" s="107"/>
      <c r="B491" s="213"/>
      <c r="C491" s="75"/>
      <c r="D491" s="80">
        <v>2023</v>
      </c>
      <c r="E491" s="77">
        <f t="shared" si="51"/>
        <v>1273.1</v>
      </c>
      <c r="F491" s="86">
        <v>0</v>
      </c>
      <c r="G491" s="77">
        <v>0</v>
      </c>
      <c r="H491" s="77">
        <f>1710.3-214.9-84-138.3</f>
        <v>1273.1</v>
      </c>
      <c r="I491" s="77">
        <v>0</v>
      </c>
      <c r="J491" s="77">
        <v>0</v>
      </c>
      <c r="K491" s="80"/>
      <c r="L491" s="155"/>
      <c r="M491" s="143"/>
    </row>
    <row r="492" ht="23.45" customHeight="1" spans="1:13">
      <c r="A492" s="107"/>
      <c r="B492" s="213"/>
      <c r="C492" s="75"/>
      <c r="D492" s="80">
        <v>2024</v>
      </c>
      <c r="E492" s="77">
        <f t="shared" si="51"/>
        <v>1675.7</v>
      </c>
      <c r="F492" s="86">
        <v>0</v>
      </c>
      <c r="G492" s="77">
        <v>0</v>
      </c>
      <c r="H492" s="87">
        <f>1835.4-45-57-40.7-17</f>
        <v>1675.7</v>
      </c>
      <c r="I492" s="77">
        <v>0</v>
      </c>
      <c r="J492" s="77">
        <v>0</v>
      </c>
      <c r="K492" s="80"/>
      <c r="L492" s="155"/>
      <c r="M492" s="143"/>
    </row>
    <row r="493" ht="23.45" customHeight="1" spans="1:13">
      <c r="A493" s="107"/>
      <c r="B493" s="213"/>
      <c r="C493" s="75"/>
      <c r="D493" s="80">
        <v>2025</v>
      </c>
      <c r="E493" s="77">
        <f t="shared" si="51"/>
        <v>159.9</v>
      </c>
      <c r="F493" s="86">
        <v>0</v>
      </c>
      <c r="G493" s="77">
        <v>0</v>
      </c>
      <c r="H493" s="87">
        <f>112+3442.2+106-3342.2+11.1-69.2-100</f>
        <v>159.9</v>
      </c>
      <c r="I493" s="77">
        <v>0</v>
      </c>
      <c r="J493" s="77">
        <v>0</v>
      </c>
      <c r="K493" s="80"/>
      <c r="L493" s="155"/>
      <c r="M493" s="143"/>
    </row>
    <row r="494" ht="23.45" customHeight="1" spans="1:13">
      <c r="A494" s="107"/>
      <c r="B494" s="213"/>
      <c r="C494" s="75"/>
      <c r="D494" s="80">
        <v>2026</v>
      </c>
      <c r="E494" s="77">
        <f t="shared" ref="E494" si="53">F494+G494+H494+J494</f>
        <v>475</v>
      </c>
      <c r="F494" s="86">
        <v>0</v>
      </c>
      <c r="G494" s="77">
        <v>0</v>
      </c>
      <c r="H494" s="87">
        <f>250+60+165</f>
        <v>475</v>
      </c>
      <c r="I494" s="77">
        <v>0</v>
      </c>
      <c r="J494" s="77">
        <v>0</v>
      </c>
      <c r="K494" s="80"/>
      <c r="L494" s="155"/>
      <c r="M494" s="143"/>
    </row>
    <row r="495" ht="23.45" customHeight="1" spans="1:13">
      <c r="A495" s="107"/>
      <c r="B495" s="213"/>
      <c r="C495" s="75"/>
      <c r="D495" s="80">
        <v>2027</v>
      </c>
      <c r="E495" s="77">
        <f t="shared" si="51"/>
        <v>475</v>
      </c>
      <c r="F495" s="86">
        <v>0</v>
      </c>
      <c r="G495" s="77">
        <v>0</v>
      </c>
      <c r="H495" s="87">
        <f>250+60+165</f>
        <v>475</v>
      </c>
      <c r="I495" s="77">
        <v>0</v>
      </c>
      <c r="J495" s="77">
        <v>0</v>
      </c>
      <c r="K495" s="80"/>
      <c r="L495" s="155"/>
      <c r="M495" s="143"/>
    </row>
    <row r="496" s="23" customFormat="1" ht="23.45" customHeight="1" spans="1:13">
      <c r="A496" s="107"/>
      <c r="B496" s="213"/>
      <c r="C496" s="75"/>
      <c r="D496" s="80">
        <v>2028</v>
      </c>
      <c r="E496" s="77">
        <f>F496+G496+H496+I496+J496</f>
        <v>475</v>
      </c>
      <c r="F496" s="86">
        <v>0</v>
      </c>
      <c r="G496" s="77">
        <v>0</v>
      </c>
      <c r="H496" s="87">
        <f>250+60+165</f>
        <v>475</v>
      </c>
      <c r="I496" s="77">
        <v>0</v>
      </c>
      <c r="J496" s="77">
        <v>0</v>
      </c>
      <c r="K496" s="80"/>
      <c r="L496" s="155"/>
      <c r="M496" s="194"/>
    </row>
    <row r="497" ht="17.25" customHeight="1" spans="1:13">
      <c r="A497" s="107" t="s">
        <v>244</v>
      </c>
      <c r="B497" s="213" t="s">
        <v>245</v>
      </c>
      <c r="C497" s="75" t="e">
        <f>#REF!+#REF!+#REF!+#REF!+#REF!+#REF!+#REF!+#REF!</f>
        <v>#REF!</v>
      </c>
      <c r="D497" s="181">
        <v>2018</v>
      </c>
      <c r="E497" s="88">
        <f t="shared" si="51"/>
        <v>20.9</v>
      </c>
      <c r="F497" s="88">
        <v>0</v>
      </c>
      <c r="G497" s="88">
        <v>0</v>
      </c>
      <c r="H497" s="88">
        <v>20.9</v>
      </c>
      <c r="I497" s="88">
        <v>0</v>
      </c>
      <c r="J497" s="88">
        <v>0</v>
      </c>
      <c r="K497" s="80" t="s">
        <v>246</v>
      </c>
      <c r="L497" s="155" t="s">
        <v>35</v>
      </c>
      <c r="M497" s="143"/>
    </row>
    <row r="498" ht="17.25" customHeight="1" spans="1:13">
      <c r="A498" s="107"/>
      <c r="B498" s="213"/>
      <c r="C498" s="75"/>
      <c r="D498" s="76">
        <v>2019</v>
      </c>
      <c r="E498" s="77">
        <f t="shared" si="51"/>
        <v>0</v>
      </c>
      <c r="F498" s="77">
        <v>0</v>
      </c>
      <c r="G498" s="77">
        <v>0</v>
      </c>
      <c r="H498" s="77">
        <v>0</v>
      </c>
      <c r="I498" s="77">
        <v>0</v>
      </c>
      <c r="J498" s="77">
        <v>0</v>
      </c>
      <c r="K498" s="80"/>
      <c r="L498" s="155"/>
      <c r="M498" s="143"/>
    </row>
    <row r="499" ht="17.25" customHeight="1" spans="1:13">
      <c r="A499" s="107"/>
      <c r="B499" s="213"/>
      <c r="C499" s="75"/>
      <c r="D499" s="80">
        <v>2020</v>
      </c>
      <c r="E499" s="77">
        <f t="shared" si="51"/>
        <v>0</v>
      </c>
      <c r="F499" s="86">
        <v>0</v>
      </c>
      <c r="G499" s="77">
        <v>0</v>
      </c>
      <c r="H499" s="77">
        <v>0</v>
      </c>
      <c r="I499" s="77">
        <v>0</v>
      </c>
      <c r="J499" s="77">
        <v>0</v>
      </c>
      <c r="K499" s="80"/>
      <c r="L499" s="155"/>
      <c r="M499" s="143"/>
    </row>
    <row r="500" ht="17.25" customHeight="1" spans="1:13">
      <c r="A500" s="107"/>
      <c r="B500" s="213"/>
      <c r="C500" s="75"/>
      <c r="D500" s="80">
        <v>2021</v>
      </c>
      <c r="E500" s="77">
        <f t="shared" si="51"/>
        <v>0</v>
      </c>
      <c r="F500" s="86">
        <v>0</v>
      </c>
      <c r="G500" s="77">
        <v>0</v>
      </c>
      <c r="H500" s="77">
        <v>0</v>
      </c>
      <c r="I500" s="77">
        <v>0</v>
      </c>
      <c r="J500" s="77">
        <v>0</v>
      </c>
      <c r="K500" s="80"/>
      <c r="L500" s="155"/>
      <c r="M500" s="143"/>
    </row>
    <row r="501" ht="17.25" customHeight="1" spans="1:13">
      <c r="A501" s="107"/>
      <c r="B501" s="213"/>
      <c r="C501" s="75"/>
      <c r="D501" s="80">
        <v>2022</v>
      </c>
      <c r="E501" s="77">
        <f t="shared" si="51"/>
        <v>0</v>
      </c>
      <c r="F501" s="86">
        <v>0</v>
      </c>
      <c r="G501" s="77">
        <v>0</v>
      </c>
      <c r="H501" s="77">
        <v>0</v>
      </c>
      <c r="I501" s="77">
        <v>0</v>
      </c>
      <c r="J501" s="77">
        <v>0</v>
      </c>
      <c r="K501" s="80"/>
      <c r="L501" s="155"/>
      <c r="M501" s="143"/>
    </row>
    <row r="502" ht="17.25" customHeight="1" spans="1:13">
      <c r="A502" s="107"/>
      <c r="B502" s="213"/>
      <c r="C502" s="75"/>
      <c r="D502" s="80">
        <v>2023</v>
      </c>
      <c r="E502" s="77">
        <f t="shared" si="51"/>
        <v>0</v>
      </c>
      <c r="F502" s="86">
        <v>0</v>
      </c>
      <c r="G502" s="77">
        <v>0</v>
      </c>
      <c r="H502" s="77">
        <v>0</v>
      </c>
      <c r="I502" s="77">
        <v>0</v>
      </c>
      <c r="J502" s="77">
        <v>0</v>
      </c>
      <c r="K502" s="80"/>
      <c r="L502" s="155"/>
      <c r="M502" s="143"/>
    </row>
    <row r="503" ht="17.25" customHeight="1" spans="1:13">
      <c r="A503" s="107"/>
      <c r="B503" s="213"/>
      <c r="C503" s="75"/>
      <c r="D503" s="80">
        <v>2024</v>
      </c>
      <c r="E503" s="77">
        <f t="shared" si="51"/>
        <v>0</v>
      </c>
      <c r="F503" s="86">
        <v>0</v>
      </c>
      <c r="G503" s="77">
        <v>0</v>
      </c>
      <c r="H503" s="77">
        <v>0</v>
      </c>
      <c r="I503" s="77">
        <v>0</v>
      </c>
      <c r="J503" s="77">
        <v>0</v>
      </c>
      <c r="K503" s="80"/>
      <c r="L503" s="155"/>
      <c r="M503" s="143"/>
    </row>
    <row r="504" ht="17.25" customHeight="1" spans="1:13">
      <c r="A504" s="107"/>
      <c r="B504" s="213"/>
      <c r="C504" s="75"/>
      <c r="D504" s="80">
        <v>2025</v>
      </c>
      <c r="E504" s="77">
        <f t="shared" si="51"/>
        <v>0</v>
      </c>
      <c r="F504" s="86">
        <v>0</v>
      </c>
      <c r="G504" s="77">
        <v>0</v>
      </c>
      <c r="H504" s="77">
        <v>0</v>
      </c>
      <c r="I504" s="77">
        <v>0</v>
      </c>
      <c r="J504" s="77">
        <v>0</v>
      </c>
      <c r="K504" s="80"/>
      <c r="L504" s="155"/>
      <c r="M504" s="143"/>
    </row>
    <row r="505" ht="17.25" customHeight="1" spans="1:13">
      <c r="A505" s="107"/>
      <c r="B505" s="213"/>
      <c r="C505" s="75"/>
      <c r="D505" s="80">
        <v>2026</v>
      </c>
      <c r="E505" s="77">
        <f t="shared" ref="E505" si="54">F505+G505+H505+J505</f>
        <v>0</v>
      </c>
      <c r="F505" s="86">
        <v>0</v>
      </c>
      <c r="G505" s="77">
        <v>0</v>
      </c>
      <c r="H505" s="77">
        <v>0</v>
      </c>
      <c r="I505" s="77">
        <v>0</v>
      </c>
      <c r="J505" s="77">
        <v>0</v>
      </c>
      <c r="K505" s="80"/>
      <c r="L505" s="155"/>
      <c r="M505" s="143"/>
    </row>
    <row r="506" ht="17.25" customHeight="1" spans="1:13">
      <c r="A506" s="107"/>
      <c r="B506" s="213"/>
      <c r="C506" s="75"/>
      <c r="D506" s="80">
        <v>2027</v>
      </c>
      <c r="E506" s="77">
        <f t="shared" si="51"/>
        <v>0</v>
      </c>
      <c r="F506" s="86">
        <v>0</v>
      </c>
      <c r="G506" s="77">
        <v>0</v>
      </c>
      <c r="H506" s="77">
        <v>0</v>
      </c>
      <c r="I506" s="77">
        <v>0</v>
      </c>
      <c r="J506" s="77">
        <v>0</v>
      </c>
      <c r="K506" s="80"/>
      <c r="L506" s="155"/>
      <c r="M506" s="143"/>
    </row>
    <row r="507" ht="17.25" customHeight="1" spans="1:13">
      <c r="A507" s="107"/>
      <c r="B507" s="213"/>
      <c r="C507" s="75"/>
      <c r="D507" s="80">
        <v>2028</v>
      </c>
      <c r="E507" s="77">
        <v>0</v>
      </c>
      <c r="F507" s="86">
        <v>0</v>
      </c>
      <c r="G507" s="77">
        <v>0</v>
      </c>
      <c r="H507" s="77">
        <v>0</v>
      </c>
      <c r="I507" s="77">
        <v>0</v>
      </c>
      <c r="J507" s="77">
        <v>0</v>
      </c>
      <c r="K507" s="80"/>
      <c r="L507" s="155"/>
      <c r="M507" s="143"/>
    </row>
    <row r="508" ht="17.25" customHeight="1" spans="1:13">
      <c r="A508" s="107" t="s">
        <v>247</v>
      </c>
      <c r="B508" s="213" t="s">
        <v>248</v>
      </c>
      <c r="C508" s="75" t="e">
        <f>#REF!+#REF!+#REF!+#REF!+#REF!+#REF!+#REF!+#REF!</f>
        <v>#REF!</v>
      </c>
      <c r="D508" s="76">
        <v>2018</v>
      </c>
      <c r="E508" s="77">
        <f t="shared" si="51"/>
        <v>2800</v>
      </c>
      <c r="F508" s="77">
        <v>0</v>
      </c>
      <c r="G508" s="77">
        <v>2800</v>
      </c>
      <c r="H508" s="77">
        <v>0</v>
      </c>
      <c r="I508" s="77">
        <v>0</v>
      </c>
      <c r="J508" s="77">
        <v>0</v>
      </c>
      <c r="K508" s="80" t="s">
        <v>249</v>
      </c>
      <c r="L508" s="155" t="s">
        <v>211</v>
      </c>
      <c r="M508" s="143"/>
    </row>
    <row r="509" ht="17.25" customHeight="1" spans="1:13">
      <c r="A509" s="107"/>
      <c r="B509" s="213"/>
      <c r="C509" s="75"/>
      <c r="D509" s="76">
        <v>2019</v>
      </c>
      <c r="E509" s="77">
        <f t="shared" si="51"/>
        <v>2900</v>
      </c>
      <c r="F509" s="77">
        <v>0</v>
      </c>
      <c r="G509" s="77">
        <v>2900</v>
      </c>
      <c r="H509" s="77">
        <v>0</v>
      </c>
      <c r="I509" s="77">
        <v>0</v>
      </c>
      <c r="J509" s="77">
        <v>0</v>
      </c>
      <c r="K509" s="80"/>
      <c r="L509" s="155"/>
      <c r="M509" s="143"/>
    </row>
    <row r="510" ht="17.25" customHeight="1" spans="1:13">
      <c r="A510" s="107"/>
      <c r="B510" s="213"/>
      <c r="C510" s="75"/>
      <c r="D510" s="80">
        <v>2020</v>
      </c>
      <c r="E510" s="77">
        <f t="shared" si="51"/>
        <v>2361.5</v>
      </c>
      <c r="F510" s="86">
        <v>0</v>
      </c>
      <c r="G510" s="77">
        <v>2361.5</v>
      </c>
      <c r="H510" s="77">
        <v>0</v>
      </c>
      <c r="I510" s="77">
        <v>0</v>
      </c>
      <c r="J510" s="77">
        <v>0</v>
      </c>
      <c r="K510" s="80"/>
      <c r="L510" s="155"/>
      <c r="M510" s="143"/>
    </row>
    <row r="511" ht="17.25" customHeight="1" spans="1:13">
      <c r="A511" s="107"/>
      <c r="B511" s="213"/>
      <c r="C511" s="75"/>
      <c r="D511" s="80">
        <v>2021</v>
      </c>
      <c r="E511" s="77">
        <f t="shared" si="51"/>
        <v>919.3</v>
      </c>
      <c r="F511" s="86">
        <v>0</v>
      </c>
      <c r="G511" s="77">
        <v>919.3</v>
      </c>
      <c r="H511" s="77">
        <v>0</v>
      </c>
      <c r="I511" s="77">
        <v>0</v>
      </c>
      <c r="J511" s="77">
        <v>0</v>
      </c>
      <c r="K511" s="80"/>
      <c r="L511" s="155"/>
      <c r="M511" s="143"/>
    </row>
    <row r="512" ht="17.25" customHeight="1" spans="1:13">
      <c r="A512" s="107"/>
      <c r="B512" s="213"/>
      <c r="C512" s="75"/>
      <c r="D512" s="80">
        <v>2022</v>
      </c>
      <c r="E512" s="77">
        <f t="shared" si="51"/>
        <v>990.6</v>
      </c>
      <c r="F512" s="86">
        <v>0</v>
      </c>
      <c r="G512" s="77">
        <f>1190.5-199.9</f>
        <v>990.6</v>
      </c>
      <c r="H512" s="77">
        <v>0</v>
      </c>
      <c r="I512" s="77">
        <v>0</v>
      </c>
      <c r="J512" s="77">
        <v>0</v>
      </c>
      <c r="K512" s="80"/>
      <c r="L512" s="155"/>
      <c r="M512" s="143"/>
    </row>
    <row r="513" ht="17.25" customHeight="1" spans="1:13">
      <c r="A513" s="107"/>
      <c r="B513" s="213"/>
      <c r="C513" s="75"/>
      <c r="D513" s="80">
        <v>2023</v>
      </c>
      <c r="E513" s="77">
        <f t="shared" si="51"/>
        <v>964</v>
      </c>
      <c r="F513" s="86">
        <v>0</v>
      </c>
      <c r="G513" s="77">
        <f>1065.8-101.8</f>
        <v>964</v>
      </c>
      <c r="H513" s="77">
        <v>0</v>
      </c>
      <c r="I513" s="77">
        <v>0</v>
      </c>
      <c r="J513" s="77">
        <v>0</v>
      </c>
      <c r="K513" s="80"/>
      <c r="L513" s="155"/>
      <c r="M513" s="143"/>
    </row>
    <row r="514" ht="46.5" customHeight="1" spans="1:13">
      <c r="A514" s="107"/>
      <c r="B514" s="214" t="s">
        <v>250</v>
      </c>
      <c r="C514" s="75"/>
      <c r="D514" s="75">
        <v>2024</v>
      </c>
      <c r="E514" s="77">
        <f t="shared" si="51"/>
        <v>13393.4</v>
      </c>
      <c r="F514" s="81">
        <v>0</v>
      </c>
      <c r="G514" s="77">
        <f>1071.8+4971.9+7349.7</f>
        <v>13393.4</v>
      </c>
      <c r="H514" s="77">
        <v>0</v>
      </c>
      <c r="I514" s="77">
        <v>0</v>
      </c>
      <c r="J514" s="77">
        <v>0</v>
      </c>
      <c r="K514" s="80"/>
      <c r="L514" s="155"/>
      <c r="M514" s="143"/>
    </row>
    <row r="515" ht="48" customHeight="1" spans="1:13">
      <c r="A515" s="107"/>
      <c r="B515" s="214"/>
      <c r="C515" s="75"/>
      <c r="D515" s="75">
        <v>2025</v>
      </c>
      <c r="E515" s="77">
        <f t="shared" si="51"/>
        <v>28872.9</v>
      </c>
      <c r="F515" s="81">
        <v>0</v>
      </c>
      <c r="G515" s="77">
        <f>31897.1-3024.2</f>
        <v>28872.9</v>
      </c>
      <c r="H515" s="77">
        <v>0</v>
      </c>
      <c r="I515" s="77">
        <v>0</v>
      </c>
      <c r="J515" s="77">
        <v>0</v>
      </c>
      <c r="K515" s="80"/>
      <c r="L515" s="155"/>
      <c r="M515" s="143"/>
    </row>
    <row r="516" ht="33" customHeight="1" spans="1:13">
      <c r="A516" s="107"/>
      <c r="B516" s="214"/>
      <c r="C516" s="75"/>
      <c r="D516" s="75">
        <v>2026</v>
      </c>
      <c r="E516" s="77">
        <f t="shared" ref="E516" si="55">F516+G516+H516+J516</f>
        <v>42656.6</v>
      </c>
      <c r="F516" s="81">
        <v>0</v>
      </c>
      <c r="G516" s="77">
        <f>42656.6</f>
        <v>42656.6</v>
      </c>
      <c r="H516" s="77">
        <v>0</v>
      </c>
      <c r="I516" s="77">
        <v>0</v>
      </c>
      <c r="J516" s="77">
        <v>0</v>
      </c>
      <c r="K516" s="80"/>
      <c r="L516" s="155"/>
      <c r="M516" s="143"/>
    </row>
    <row r="517" ht="46.5" customHeight="1" spans="1:13">
      <c r="A517" s="107"/>
      <c r="B517" s="214"/>
      <c r="C517" s="75"/>
      <c r="D517" s="75">
        <v>2027</v>
      </c>
      <c r="E517" s="77">
        <f t="shared" si="51"/>
        <v>44359.2</v>
      </c>
      <c r="F517" s="81">
        <v>0</v>
      </c>
      <c r="G517" s="77">
        <v>44359.2</v>
      </c>
      <c r="H517" s="77">
        <v>0</v>
      </c>
      <c r="I517" s="77">
        <v>0</v>
      </c>
      <c r="J517" s="77">
        <v>0</v>
      </c>
      <c r="K517" s="80"/>
      <c r="L517" s="155"/>
      <c r="M517" s="143"/>
    </row>
    <row r="518" ht="76" customHeight="1" spans="1:13">
      <c r="A518" s="107"/>
      <c r="B518" s="214"/>
      <c r="C518" s="75"/>
      <c r="D518" s="75">
        <v>2028</v>
      </c>
      <c r="E518" s="77">
        <f>F518+G518+H518+I518+J518</f>
        <v>46123.7</v>
      </c>
      <c r="F518" s="81">
        <v>0</v>
      </c>
      <c r="G518" s="77">
        <v>46123.7</v>
      </c>
      <c r="H518" s="77">
        <v>0</v>
      </c>
      <c r="I518" s="77">
        <v>0</v>
      </c>
      <c r="J518" s="77">
        <v>0</v>
      </c>
      <c r="K518" s="80"/>
      <c r="L518" s="155"/>
      <c r="M518" s="143"/>
    </row>
    <row r="519" ht="21" customHeight="1" spans="1:13">
      <c r="A519" s="107" t="s">
        <v>251</v>
      </c>
      <c r="B519" s="213" t="s">
        <v>252</v>
      </c>
      <c r="C519" s="75" t="e">
        <f>#REF!+#REF!+#REF!+#REF!+#REF!+#REF!+#REF!+#REF!</f>
        <v>#REF!</v>
      </c>
      <c r="D519" s="76">
        <v>2018</v>
      </c>
      <c r="E519" s="77">
        <f t="shared" si="51"/>
        <v>0</v>
      </c>
      <c r="F519" s="77">
        <v>0</v>
      </c>
      <c r="G519" s="77">
        <v>0</v>
      </c>
      <c r="H519" s="77">
        <v>0</v>
      </c>
      <c r="I519" s="77">
        <v>0</v>
      </c>
      <c r="J519" s="77">
        <v>0</v>
      </c>
      <c r="K519" s="80" t="s">
        <v>253</v>
      </c>
      <c r="L519" s="155" t="s">
        <v>211</v>
      </c>
      <c r="M519" s="143"/>
    </row>
    <row r="520" ht="21" customHeight="1" spans="1:13">
      <c r="A520" s="107"/>
      <c r="B520" s="213"/>
      <c r="C520" s="75"/>
      <c r="D520" s="76">
        <v>2019</v>
      </c>
      <c r="E520" s="77">
        <f t="shared" si="51"/>
        <v>0</v>
      </c>
      <c r="F520" s="77">
        <v>0</v>
      </c>
      <c r="G520" s="77">
        <v>0</v>
      </c>
      <c r="H520" s="77">
        <v>0</v>
      </c>
      <c r="I520" s="77">
        <v>0</v>
      </c>
      <c r="J520" s="77">
        <v>0</v>
      </c>
      <c r="K520" s="80"/>
      <c r="L520" s="155"/>
      <c r="M520" s="143"/>
    </row>
    <row r="521" ht="21" customHeight="1" spans="1:13">
      <c r="A521" s="107"/>
      <c r="B521" s="213"/>
      <c r="C521" s="75"/>
      <c r="D521" s="80">
        <v>2020</v>
      </c>
      <c r="E521" s="77">
        <f t="shared" si="51"/>
        <v>0</v>
      </c>
      <c r="F521" s="86">
        <v>0</v>
      </c>
      <c r="G521" s="77">
        <v>0</v>
      </c>
      <c r="H521" s="77">
        <v>0</v>
      </c>
      <c r="I521" s="77">
        <v>0</v>
      </c>
      <c r="J521" s="77">
        <v>0</v>
      </c>
      <c r="K521" s="80"/>
      <c r="L521" s="155"/>
      <c r="M521" s="143"/>
    </row>
    <row r="522" ht="21" customHeight="1" spans="1:13">
      <c r="A522" s="107"/>
      <c r="B522" s="213"/>
      <c r="C522" s="75"/>
      <c r="D522" s="80">
        <v>2021</v>
      </c>
      <c r="E522" s="77">
        <f t="shared" si="51"/>
        <v>0</v>
      </c>
      <c r="F522" s="86">
        <v>0</v>
      </c>
      <c r="G522" s="77">
        <v>0</v>
      </c>
      <c r="H522" s="77">
        <v>0</v>
      </c>
      <c r="I522" s="77">
        <v>0</v>
      </c>
      <c r="J522" s="77">
        <v>0</v>
      </c>
      <c r="K522" s="80"/>
      <c r="L522" s="155"/>
      <c r="M522" s="143"/>
    </row>
    <row r="523" ht="21" customHeight="1" spans="1:13">
      <c r="A523" s="107"/>
      <c r="B523" s="213"/>
      <c r="C523" s="75"/>
      <c r="D523" s="80">
        <v>2022</v>
      </c>
      <c r="E523" s="77">
        <f t="shared" si="51"/>
        <v>0</v>
      </c>
      <c r="F523" s="86">
        <v>0</v>
      </c>
      <c r="G523" s="77">
        <v>0</v>
      </c>
      <c r="H523" s="77">
        <v>0</v>
      </c>
      <c r="I523" s="77">
        <v>0</v>
      </c>
      <c r="J523" s="77">
        <v>0</v>
      </c>
      <c r="K523" s="80"/>
      <c r="L523" s="155"/>
      <c r="M523" s="143"/>
    </row>
    <row r="524" ht="21" customHeight="1" spans="1:13">
      <c r="A524" s="107"/>
      <c r="B524" s="213"/>
      <c r="C524" s="75"/>
      <c r="D524" s="80">
        <v>2023</v>
      </c>
      <c r="E524" s="77">
        <f t="shared" si="51"/>
        <v>0</v>
      </c>
      <c r="F524" s="86">
        <v>0</v>
      </c>
      <c r="G524" s="77">
        <v>0</v>
      </c>
      <c r="H524" s="77">
        <v>0</v>
      </c>
      <c r="I524" s="77">
        <v>0</v>
      </c>
      <c r="J524" s="77">
        <v>0</v>
      </c>
      <c r="K524" s="80"/>
      <c r="L524" s="155"/>
      <c r="M524" s="143"/>
    </row>
    <row r="525" ht="21" customHeight="1" spans="1:13">
      <c r="A525" s="107"/>
      <c r="B525" s="213"/>
      <c r="C525" s="75"/>
      <c r="D525" s="80">
        <v>2024</v>
      </c>
      <c r="E525" s="77">
        <f t="shared" si="51"/>
        <v>0</v>
      </c>
      <c r="F525" s="86">
        <v>0</v>
      </c>
      <c r="G525" s="77">
        <v>0</v>
      </c>
      <c r="H525" s="77">
        <v>0</v>
      </c>
      <c r="I525" s="77">
        <v>0</v>
      </c>
      <c r="J525" s="77">
        <v>0</v>
      </c>
      <c r="K525" s="80"/>
      <c r="L525" s="155"/>
      <c r="M525" s="143"/>
    </row>
    <row r="526" ht="21" customHeight="1" spans="1:13">
      <c r="A526" s="107"/>
      <c r="B526" s="213"/>
      <c r="C526" s="75"/>
      <c r="D526" s="80">
        <v>2025</v>
      </c>
      <c r="E526" s="77">
        <f t="shared" si="51"/>
        <v>-4.54747350886464e-13</v>
      </c>
      <c r="F526" s="86">
        <v>0</v>
      </c>
      <c r="G526" s="77">
        <v>0</v>
      </c>
      <c r="H526" s="77">
        <f>4041.4+135-3682.9-493.5</f>
        <v>-4.54747350886464e-13</v>
      </c>
      <c r="I526" s="77">
        <v>0</v>
      </c>
      <c r="J526" s="77">
        <v>0</v>
      </c>
      <c r="K526" s="80"/>
      <c r="L526" s="155"/>
      <c r="M526" s="143"/>
    </row>
    <row r="527" ht="21" customHeight="1" spans="1:13">
      <c r="A527" s="107"/>
      <c r="B527" s="213"/>
      <c r="C527" s="75"/>
      <c r="D527" s="80">
        <v>2026</v>
      </c>
      <c r="E527" s="77">
        <f t="shared" ref="E527" si="56">F527+G527+H527+J527</f>
        <v>0</v>
      </c>
      <c r="F527" s="86">
        <v>0</v>
      </c>
      <c r="G527" s="77">
        <v>0</v>
      </c>
      <c r="H527" s="77">
        <v>0</v>
      </c>
      <c r="I527" s="77">
        <v>0</v>
      </c>
      <c r="J527" s="77">
        <v>0</v>
      </c>
      <c r="K527" s="80"/>
      <c r="L527" s="155"/>
      <c r="M527" s="143"/>
    </row>
    <row r="528" ht="21" customHeight="1" spans="1:13">
      <c r="A528" s="107"/>
      <c r="B528" s="213"/>
      <c r="C528" s="75"/>
      <c r="D528" s="80">
        <v>2027</v>
      </c>
      <c r="E528" s="77">
        <f t="shared" si="51"/>
        <v>0</v>
      </c>
      <c r="F528" s="86">
        <v>0</v>
      </c>
      <c r="G528" s="77">
        <v>0</v>
      </c>
      <c r="H528" s="77">
        <v>0</v>
      </c>
      <c r="I528" s="77">
        <v>0</v>
      </c>
      <c r="J528" s="77">
        <v>0</v>
      </c>
      <c r="K528" s="80"/>
      <c r="L528" s="155"/>
      <c r="M528" s="143"/>
    </row>
    <row r="529" ht="21" customHeight="1" spans="1:13">
      <c r="A529" s="107"/>
      <c r="B529" s="213"/>
      <c r="C529" s="75"/>
      <c r="D529" s="80">
        <v>2028</v>
      </c>
      <c r="E529" s="77">
        <f>F529+G529+H529+I529+J529</f>
        <v>0</v>
      </c>
      <c r="F529" s="86">
        <v>0</v>
      </c>
      <c r="G529" s="77">
        <v>0</v>
      </c>
      <c r="H529" s="77">
        <v>0</v>
      </c>
      <c r="I529" s="77">
        <v>0</v>
      </c>
      <c r="J529" s="77">
        <v>0</v>
      </c>
      <c r="K529" s="80"/>
      <c r="L529" s="155"/>
      <c r="M529" s="143"/>
    </row>
    <row r="530" customHeight="1" spans="1:13">
      <c r="A530" s="107" t="s">
        <v>254</v>
      </c>
      <c r="B530" s="213" t="s">
        <v>255</v>
      </c>
      <c r="C530" s="75" t="e">
        <f>#REF!+#REF!+#REF!+#REF!+#REF!+#REF!+#REF!+#REF!</f>
        <v>#REF!</v>
      </c>
      <c r="D530" s="76">
        <v>2018</v>
      </c>
      <c r="E530" s="77">
        <f t="shared" si="51"/>
        <v>2371.7</v>
      </c>
      <c r="F530" s="77">
        <v>0</v>
      </c>
      <c r="G530" s="77">
        <v>0</v>
      </c>
      <c r="H530" s="77">
        <v>2371.7</v>
      </c>
      <c r="I530" s="77">
        <v>0</v>
      </c>
      <c r="J530" s="77">
        <v>0</v>
      </c>
      <c r="K530" s="80" t="s">
        <v>256</v>
      </c>
      <c r="L530" s="155" t="s">
        <v>35</v>
      </c>
      <c r="M530" s="143"/>
    </row>
    <row r="531" customHeight="1" spans="1:13">
      <c r="A531" s="107"/>
      <c r="B531" s="213"/>
      <c r="C531" s="75"/>
      <c r="D531" s="76">
        <v>2019</v>
      </c>
      <c r="E531" s="77">
        <f t="shared" si="51"/>
        <v>2414.4</v>
      </c>
      <c r="F531" s="77">
        <v>0</v>
      </c>
      <c r="G531" s="77">
        <v>0</v>
      </c>
      <c r="H531" s="77">
        <v>2414.4</v>
      </c>
      <c r="I531" s="77">
        <v>0</v>
      </c>
      <c r="J531" s="77">
        <v>0</v>
      </c>
      <c r="K531" s="80"/>
      <c r="L531" s="155"/>
      <c r="M531" s="143"/>
    </row>
    <row r="532" customHeight="1" spans="1:13">
      <c r="A532" s="107"/>
      <c r="B532" s="213"/>
      <c r="C532" s="75"/>
      <c r="D532" s="80">
        <v>2020</v>
      </c>
      <c r="E532" s="77">
        <f t="shared" si="51"/>
        <v>6070.5</v>
      </c>
      <c r="F532" s="86">
        <v>0</v>
      </c>
      <c r="G532" s="77">
        <v>0</v>
      </c>
      <c r="H532" s="77">
        <v>6070.5</v>
      </c>
      <c r="I532" s="77">
        <v>0</v>
      </c>
      <c r="J532" s="77">
        <v>0</v>
      </c>
      <c r="K532" s="80"/>
      <c r="L532" s="155"/>
      <c r="M532" s="143"/>
    </row>
    <row r="533" customHeight="1" spans="1:13">
      <c r="A533" s="107"/>
      <c r="B533" s="213"/>
      <c r="C533" s="75"/>
      <c r="D533" s="80">
        <v>2021</v>
      </c>
      <c r="E533" s="77">
        <f t="shared" si="51"/>
        <v>11999.9</v>
      </c>
      <c r="F533" s="86">
        <v>0</v>
      </c>
      <c r="G533" s="77">
        <v>0</v>
      </c>
      <c r="H533" s="77">
        <v>11999.9</v>
      </c>
      <c r="I533" s="77">
        <v>0</v>
      </c>
      <c r="J533" s="77">
        <v>0</v>
      </c>
      <c r="K533" s="80"/>
      <c r="L533" s="155"/>
      <c r="M533" s="143"/>
    </row>
    <row r="534" customHeight="1" spans="1:13">
      <c r="A534" s="107"/>
      <c r="B534" s="213"/>
      <c r="C534" s="75"/>
      <c r="D534" s="80">
        <v>2022</v>
      </c>
      <c r="E534" s="77">
        <f t="shared" si="51"/>
        <v>29760.8</v>
      </c>
      <c r="F534" s="86">
        <v>0</v>
      </c>
      <c r="G534" s="77">
        <v>0</v>
      </c>
      <c r="H534" s="77">
        <f>27940.6-212.3-67.8-938.6+2971.6-9.1+175+395+95-555.9-79.5-399.4+128.9+114.7-130-67.1+70+0.3-60.4+389.8</f>
        <v>29760.8</v>
      </c>
      <c r="I534" s="77">
        <v>0</v>
      </c>
      <c r="J534" s="77">
        <v>0</v>
      </c>
      <c r="K534" s="80"/>
      <c r="L534" s="155"/>
      <c r="M534" s="143"/>
    </row>
    <row r="535" customHeight="1" spans="1:13">
      <c r="A535" s="107"/>
      <c r="B535" s="213"/>
      <c r="C535" s="75"/>
      <c r="D535" s="80">
        <v>2023</v>
      </c>
      <c r="E535" s="77">
        <f t="shared" si="51"/>
        <v>19620.1</v>
      </c>
      <c r="F535" s="86">
        <v>0</v>
      </c>
      <c r="G535" s="77">
        <v>0</v>
      </c>
      <c r="H535" s="77">
        <f>2429.4+4519.1-297.2+2096.6+379.3-190+967.1+1306.4+14.2+1249.1-553.6+253.4+178.6+278.2+300+390+358+184.7+1080+515.9+271-58.5+320+780.2+420+2428.2</f>
        <v>19620.1</v>
      </c>
      <c r="I535" s="77">
        <v>0</v>
      </c>
      <c r="J535" s="77">
        <v>0</v>
      </c>
      <c r="K535" s="80"/>
      <c r="L535" s="155"/>
      <c r="M535" s="143"/>
    </row>
    <row r="536" customHeight="1" spans="1:13">
      <c r="A536" s="107"/>
      <c r="B536" s="213"/>
      <c r="C536" s="75"/>
      <c r="D536" s="80">
        <v>2024</v>
      </c>
      <c r="E536" s="77">
        <f t="shared" si="51"/>
        <v>75412.3</v>
      </c>
      <c r="F536" s="86">
        <v>0</v>
      </c>
      <c r="G536" s="77">
        <v>0</v>
      </c>
      <c r="H536" s="87">
        <f>1742.1+473+342.3+400+55+4787.8+522+739.5+6070.4+295.5+3756.8+10910.4+10910+51-189-4787.8+354.3+4787.8+3961.1-210+210-100-988.8+100+988.8+2553.7+548.4+6017.7+583+2361.5+2499+1304.3+3963.9+13869.1+775+748+30-1879.1-589.6+589.6-600-493.5+2000-1947.6+189.7-478.9-1814.1</f>
        <v>75412.3</v>
      </c>
      <c r="I536" s="77">
        <v>0</v>
      </c>
      <c r="J536" s="77">
        <v>0</v>
      </c>
      <c r="K536" s="80"/>
      <c r="L536" s="155"/>
      <c r="M536" s="143"/>
    </row>
    <row r="537" customHeight="1" spans="1:13">
      <c r="A537" s="107"/>
      <c r="B537" s="213"/>
      <c r="C537" s="75"/>
      <c r="D537" s="80">
        <v>2025</v>
      </c>
      <c r="E537" s="77">
        <f t="shared" si="51"/>
        <v>88489.6</v>
      </c>
      <c r="F537" s="86">
        <v>0</v>
      </c>
      <c r="G537" s="77">
        <v>0</v>
      </c>
      <c r="H537" s="87">
        <v>88489.6</v>
      </c>
      <c r="I537" s="77">
        <v>0</v>
      </c>
      <c r="J537" s="77">
        <v>0</v>
      </c>
      <c r="K537" s="80"/>
      <c r="L537" s="155"/>
      <c r="M537" s="143"/>
    </row>
    <row r="538" customHeight="1" spans="1:13">
      <c r="A538" s="107"/>
      <c r="B538" s="213"/>
      <c r="C538" s="75"/>
      <c r="D538" s="80">
        <v>2026</v>
      </c>
      <c r="E538" s="77">
        <f t="shared" ref="E538" si="57">F538+G538+H538+J538</f>
        <v>9195.8</v>
      </c>
      <c r="F538" s="86">
        <v>0</v>
      </c>
      <c r="G538" s="77">
        <v>0</v>
      </c>
      <c r="H538" s="215">
        <f>1086.9+4596.2+3162.7+350</f>
        <v>9195.8</v>
      </c>
      <c r="I538" s="77">
        <v>0</v>
      </c>
      <c r="J538" s="77">
        <v>0</v>
      </c>
      <c r="K538" s="80"/>
      <c r="L538" s="155"/>
      <c r="M538" s="143"/>
    </row>
    <row r="539" customHeight="1" spans="1:13">
      <c r="A539" s="107"/>
      <c r="B539" s="213"/>
      <c r="C539" s="75"/>
      <c r="D539" s="80">
        <v>2027</v>
      </c>
      <c r="E539" s="77">
        <f t="shared" si="51"/>
        <v>0</v>
      </c>
      <c r="F539" s="86">
        <v>0</v>
      </c>
      <c r="G539" s="77">
        <v>0</v>
      </c>
      <c r="H539" s="87">
        <v>0</v>
      </c>
      <c r="I539" s="77">
        <v>0</v>
      </c>
      <c r="J539" s="77">
        <v>0</v>
      </c>
      <c r="K539" s="80"/>
      <c r="L539" s="155"/>
      <c r="M539" s="143"/>
    </row>
    <row r="540" s="23" customFormat="1" customHeight="1" spans="1:13">
      <c r="A540" s="107"/>
      <c r="B540" s="213"/>
      <c r="C540" s="75"/>
      <c r="D540" s="80">
        <v>2028</v>
      </c>
      <c r="E540" s="77">
        <f>F540+G540+H540+I540+J540</f>
        <v>0</v>
      </c>
      <c r="F540" s="86">
        <v>0</v>
      </c>
      <c r="G540" s="77">
        <v>0</v>
      </c>
      <c r="H540" s="87">
        <v>0</v>
      </c>
      <c r="I540" s="77">
        <v>0</v>
      </c>
      <c r="J540" s="77">
        <v>0</v>
      </c>
      <c r="K540" s="80"/>
      <c r="L540" s="155"/>
      <c r="M540" s="194"/>
    </row>
    <row r="541" ht="17.25" customHeight="1" spans="1:13">
      <c r="A541" s="107" t="s">
        <v>257</v>
      </c>
      <c r="B541" s="216" t="s">
        <v>258</v>
      </c>
      <c r="C541" s="75" t="e">
        <f>#REF!+#REF!+#REF!+#REF!+#REF!+#REF!+#REF!+#REF!</f>
        <v>#REF!</v>
      </c>
      <c r="D541" s="181">
        <v>2018</v>
      </c>
      <c r="E541" s="88">
        <f t="shared" si="51"/>
        <v>1812</v>
      </c>
      <c r="F541" s="88">
        <v>0</v>
      </c>
      <c r="G541" s="88">
        <v>0</v>
      </c>
      <c r="H541" s="88">
        <v>1812</v>
      </c>
      <c r="I541" s="88">
        <v>0</v>
      </c>
      <c r="J541" s="88">
        <v>0</v>
      </c>
      <c r="K541" s="80" t="s">
        <v>259</v>
      </c>
      <c r="L541" s="155" t="s">
        <v>35</v>
      </c>
      <c r="M541" s="143"/>
    </row>
    <row r="542" ht="17.25" customHeight="1" spans="1:13">
      <c r="A542" s="107"/>
      <c r="B542" s="216"/>
      <c r="C542" s="75"/>
      <c r="D542" s="76">
        <v>2019</v>
      </c>
      <c r="E542" s="77">
        <f t="shared" si="51"/>
        <v>1997</v>
      </c>
      <c r="F542" s="77">
        <v>0</v>
      </c>
      <c r="G542" s="77">
        <v>0</v>
      </c>
      <c r="H542" s="77">
        <v>1997</v>
      </c>
      <c r="I542" s="77">
        <v>0</v>
      </c>
      <c r="J542" s="77">
        <v>0</v>
      </c>
      <c r="K542" s="80"/>
      <c r="L542" s="155"/>
      <c r="M542" s="143"/>
    </row>
    <row r="543" ht="17.25" customHeight="1" spans="1:13">
      <c r="A543" s="107"/>
      <c r="B543" s="216"/>
      <c r="C543" s="75"/>
      <c r="D543" s="80">
        <v>2020</v>
      </c>
      <c r="E543" s="77">
        <f t="shared" si="51"/>
        <v>65</v>
      </c>
      <c r="F543" s="86">
        <v>0</v>
      </c>
      <c r="G543" s="77">
        <v>0</v>
      </c>
      <c r="H543" s="77">
        <v>65</v>
      </c>
      <c r="I543" s="77">
        <v>0</v>
      </c>
      <c r="J543" s="77">
        <v>0</v>
      </c>
      <c r="K543" s="80"/>
      <c r="L543" s="155"/>
      <c r="M543" s="143"/>
    </row>
    <row r="544" ht="17.25" customHeight="1" spans="1:13">
      <c r="A544" s="107"/>
      <c r="B544" s="216"/>
      <c r="C544" s="75"/>
      <c r="D544" s="80">
        <v>2021</v>
      </c>
      <c r="E544" s="77">
        <f t="shared" si="51"/>
        <v>1064.4</v>
      </c>
      <c r="F544" s="86">
        <v>0</v>
      </c>
      <c r="G544" s="77">
        <v>0</v>
      </c>
      <c r="H544" s="77">
        <v>1064.4</v>
      </c>
      <c r="I544" s="77">
        <v>0</v>
      </c>
      <c r="J544" s="77">
        <v>0</v>
      </c>
      <c r="K544" s="80"/>
      <c r="L544" s="155"/>
      <c r="M544" s="143"/>
    </row>
    <row r="545" ht="17.25" customHeight="1" spans="1:13">
      <c r="A545" s="107"/>
      <c r="B545" s="216"/>
      <c r="C545" s="75"/>
      <c r="D545" s="80">
        <v>2022</v>
      </c>
      <c r="E545" s="77">
        <f t="shared" si="51"/>
        <v>0</v>
      </c>
      <c r="F545" s="86">
        <v>0</v>
      </c>
      <c r="G545" s="77">
        <v>0</v>
      </c>
      <c r="H545" s="77">
        <v>0</v>
      </c>
      <c r="I545" s="77">
        <v>0</v>
      </c>
      <c r="J545" s="77">
        <v>0</v>
      </c>
      <c r="K545" s="80"/>
      <c r="L545" s="155"/>
      <c r="M545" s="143"/>
    </row>
    <row r="546" ht="17.25" customHeight="1" spans="1:13">
      <c r="A546" s="107"/>
      <c r="B546" s="216"/>
      <c r="C546" s="75"/>
      <c r="D546" s="80">
        <v>2023</v>
      </c>
      <c r="E546" s="77">
        <f t="shared" si="51"/>
        <v>0</v>
      </c>
      <c r="F546" s="86">
        <v>0</v>
      </c>
      <c r="G546" s="77">
        <v>0</v>
      </c>
      <c r="H546" s="77">
        <v>0</v>
      </c>
      <c r="I546" s="77">
        <v>0</v>
      </c>
      <c r="J546" s="77">
        <v>0</v>
      </c>
      <c r="K546" s="80"/>
      <c r="L546" s="155"/>
      <c r="M546" s="143"/>
    </row>
    <row r="547" ht="17.25" customHeight="1" spans="1:13">
      <c r="A547" s="107"/>
      <c r="B547" s="216"/>
      <c r="C547" s="75"/>
      <c r="D547" s="80">
        <v>2024</v>
      </c>
      <c r="E547" s="77">
        <f t="shared" si="51"/>
        <v>0</v>
      </c>
      <c r="F547" s="86">
        <v>0</v>
      </c>
      <c r="G547" s="77">
        <v>0</v>
      </c>
      <c r="H547" s="77">
        <v>0</v>
      </c>
      <c r="I547" s="77">
        <v>0</v>
      </c>
      <c r="J547" s="77">
        <v>0</v>
      </c>
      <c r="K547" s="80"/>
      <c r="L547" s="155"/>
      <c r="M547" s="143"/>
    </row>
    <row r="548" ht="17.25" customHeight="1" spans="1:13">
      <c r="A548" s="107"/>
      <c r="B548" s="216"/>
      <c r="C548" s="75"/>
      <c r="D548" s="80">
        <v>2025</v>
      </c>
      <c r="E548" s="77">
        <f t="shared" si="51"/>
        <v>12913</v>
      </c>
      <c r="F548" s="86">
        <v>0</v>
      </c>
      <c r="G548" s="77">
        <v>0</v>
      </c>
      <c r="H548" s="77">
        <f>7011.9+1897.2+1500+240-1150+4012.9+461-238+260-1082</f>
        <v>12913</v>
      </c>
      <c r="I548" s="77">
        <v>0</v>
      </c>
      <c r="J548" s="77">
        <v>0</v>
      </c>
      <c r="K548" s="80"/>
      <c r="L548" s="155"/>
      <c r="M548" s="143"/>
    </row>
    <row r="549" ht="17.25" customHeight="1" spans="1:13">
      <c r="A549" s="107"/>
      <c r="B549" s="216"/>
      <c r="C549" s="75"/>
      <c r="D549" s="80">
        <v>2026</v>
      </c>
      <c r="E549" s="77">
        <f t="shared" ref="E549" si="58">F549+G549+H549+J549</f>
        <v>9263</v>
      </c>
      <c r="F549" s="86">
        <v>0</v>
      </c>
      <c r="G549" s="77">
        <v>0</v>
      </c>
      <c r="H549" s="217">
        <f>7272.6+1990.4</f>
        <v>9263</v>
      </c>
      <c r="I549" s="77">
        <v>0</v>
      </c>
      <c r="J549" s="77">
        <v>0</v>
      </c>
      <c r="K549" s="80"/>
      <c r="L549" s="155"/>
      <c r="M549" s="143"/>
    </row>
    <row r="550" ht="17.25" customHeight="1" spans="1:13">
      <c r="A550" s="107"/>
      <c r="B550" s="216"/>
      <c r="C550" s="75"/>
      <c r="D550" s="80">
        <v>2027</v>
      </c>
      <c r="E550" s="77">
        <f t="shared" si="51"/>
        <v>0</v>
      </c>
      <c r="F550" s="86">
        <v>0</v>
      </c>
      <c r="G550" s="77">
        <v>0</v>
      </c>
      <c r="H550" s="77">
        <v>0</v>
      </c>
      <c r="I550" s="77">
        <v>0</v>
      </c>
      <c r="J550" s="77">
        <v>0</v>
      </c>
      <c r="K550" s="80"/>
      <c r="L550" s="155"/>
      <c r="M550" s="143"/>
    </row>
    <row r="551" ht="17.25" customHeight="1" spans="1:13">
      <c r="A551" s="107"/>
      <c r="B551" s="216"/>
      <c r="C551" s="75"/>
      <c r="D551" s="80">
        <v>2028</v>
      </c>
      <c r="E551" s="77">
        <f>F551+G551+H551+I551+J551</f>
        <v>0</v>
      </c>
      <c r="F551" s="86">
        <v>0</v>
      </c>
      <c r="G551" s="77">
        <v>0</v>
      </c>
      <c r="H551" s="77">
        <v>0</v>
      </c>
      <c r="I551" s="77">
        <v>0</v>
      </c>
      <c r="J551" s="77">
        <v>0</v>
      </c>
      <c r="K551" s="80"/>
      <c r="L551" s="155"/>
      <c r="M551" s="143"/>
    </row>
    <row r="552" ht="17.25" customHeight="1" spans="1:13">
      <c r="A552" s="107" t="s">
        <v>260</v>
      </c>
      <c r="B552" s="213" t="s">
        <v>261</v>
      </c>
      <c r="C552" s="75" t="e">
        <f>#REF!+#REF!+#REF!+#REF!+#REF!+#REF!+#REF!+#REF!</f>
        <v>#REF!</v>
      </c>
      <c r="D552" s="76">
        <v>2018</v>
      </c>
      <c r="E552" s="77">
        <f t="shared" si="51"/>
        <v>0</v>
      </c>
      <c r="F552" s="77">
        <v>0</v>
      </c>
      <c r="G552" s="77">
        <v>0</v>
      </c>
      <c r="H552" s="77">
        <v>0</v>
      </c>
      <c r="I552" s="77">
        <v>0</v>
      </c>
      <c r="J552" s="77">
        <v>0</v>
      </c>
      <c r="K552" s="80" t="s">
        <v>262</v>
      </c>
      <c r="L552" s="155" t="s">
        <v>35</v>
      </c>
      <c r="M552" s="143"/>
    </row>
    <row r="553" ht="17.25" customHeight="1" spans="1:13">
      <c r="A553" s="107"/>
      <c r="B553" s="213"/>
      <c r="C553" s="75"/>
      <c r="D553" s="76">
        <v>2019</v>
      </c>
      <c r="E553" s="77">
        <f t="shared" si="51"/>
        <v>0</v>
      </c>
      <c r="F553" s="77">
        <v>0</v>
      </c>
      <c r="G553" s="77">
        <v>0</v>
      </c>
      <c r="H553" s="77">
        <v>0</v>
      </c>
      <c r="I553" s="77">
        <v>0</v>
      </c>
      <c r="J553" s="77">
        <v>0</v>
      </c>
      <c r="K553" s="80"/>
      <c r="L553" s="155"/>
      <c r="M553" s="143"/>
    </row>
    <row r="554" ht="17.25" customHeight="1" spans="1:13">
      <c r="A554" s="107"/>
      <c r="B554" s="213"/>
      <c r="C554" s="75"/>
      <c r="D554" s="80">
        <v>2020</v>
      </c>
      <c r="E554" s="77">
        <f t="shared" si="51"/>
        <v>0</v>
      </c>
      <c r="F554" s="86">
        <v>0</v>
      </c>
      <c r="G554" s="77">
        <v>0</v>
      </c>
      <c r="H554" s="77">
        <v>0</v>
      </c>
      <c r="I554" s="77">
        <v>0</v>
      </c>
      <c r="J554" s="77">
        <v>0</v>
      </c>
      <c r="K554" s="80"/>
      <c r="L554" s="155"/>
      <c r="M554" s="143"/>
    </row>
    <row r="555" ht="17.25" customHeight="1" spans="1:13">
      <c r="A555" s="107"/>
      <c r="B555" s="213"/>
      <c r="C555" s="75"/>
      <c r="D555" s="80">
        <v>2021</v>
      </c>
      <c r="E555" s="77">
        <f t="shared" si="51"/>
        <v>0</v>
      </c>
      <c r="F555" s="86">
        <v>0</v>
      </c>
      <c r="G555" s="77">
        <v>0</v>
      </c>
      <c r="H555" s="77">
        <v>0</v>
      </c>
      <c r="I555" s="77">
        <v>0</v>
      </c>
      <c r="J555" s="77">
        <v>0</v>
      </c>
      <c r="K555" s="80"/>
      <c r="L555" s="155"/>
      <c r="M555" s="143"/>
    </row>
    <row r="556" ht="17.25" customHeight="1" spans="1:13">
      <c r="A556" s="107"/>
      <c r="B556" s="213"/>
      <c r="C556" s="75"/>
      <c r="D556" s="80">
        <v>2022</v>
      </c>
      <c r="E556" s="77">
        <f t="shared" si="51"/>
        <v>0</v>
      </c>
      <c r="F556" s="86">
        <v>0</v>
      </c>
      <c r="G556" s="77">
        <v>0</v>
      </c>
      <c r="H556" s="77">
        <v>0</v>
      </c>
      <c r="I556" s="77">
        <v>0</v>
      </c>
      <c r="J556" s="77">
        <v>0</v>
      </c>
      <c r="K556" s="80"/>
      <c r="L556" s="155"/>
      <c r="M556" s="143"/>
    </row>
    <row r="557" ht="17.25" customHeight="1" spans="1:13">
      <c r="A557" s="107"/>
      <c r="B557" s="213"/>
      <c r="C557" s="75"/>
      <c r="D557" s="80">
        <v>2023</v>
      </c>
      <c r="E557" s="77">
        <f t="shared" si="51"/>
        <v>0</v>
      </c>
      <c r="F557" s="86">
        <v>0</v>
      </c>
      <c r="G557" s="77">
        <v>0</v>
      </c>
      <c r="H557" s="77">
        <v>0</v>
      </c>
      <c r="I557" s="77">
        <v>0</v>
      </c>
      <c r="J557" s="77">
        <v>0</v>
      </c>
      <c r="K557" s="80"/>
      <c r="L557" s="155"/>
      <c r="M557" s="143"/>
    </row>
    <row r="558" ht="17.25" customHeight="1" spans="1:13">
      <c r="A558" s="107"/>
      <c r="B558" s="213"/>
      <c r="C558" s="75"/>
      <c r="D558" s="80">
        <v>2024</v>
      </c>
      <c r="E558" s="77">
        <f t="shared" si="51"/>
        <v>0</v>
      </c>
      <c r="F558" s="86">
        <v>0</v>
      </c>
      <c r="G558" s="77">
        <v>0</v>
      </c>
      <c r="H558" s="77">
        <v>0</v>
      </c>
      <c r="I558" s="77">
        <v>0</v>
      </c>
      <c r="J558" s="77">
        <v>0</v>
      </c>
      <c r="K558" s="80"/>
      <c r="L558" s="155"/>
      <c r="M558" s="143"/>
    </row>
    <row r="559" ht="17.25" customHeight="1" spans="1:13">
      <c r="A559" s="107"/>
      <c r="B559" s="213"/>
      <c r="C559" s="75"/>
      <c r="D559" s="80">
        <v>2025</v>
      </c>
      <c r="E559" s="77">
        <f t="shared" si="51"/>
        <v>0</v>
      </c>
      <c r="F559" s="86">
        <v>0</v>
      </c>
      <c r="G559" s="77">
        <v>0</v>
      </c>
      <c r="H559" s="77">
        <v>0</v>
      </c>
      <c r="I559" s="77">
        <v>0</v>
      </c>
      <c r="J559" s="77">
        <v>0</v>
      </c>
      <c r="K559" s="80"/>
      <c r="L559" s="155"/>
      <c r="M559" s="143"/>
    </row>
    <row r="560" ht="17.25" customHeight="1" spans="1:13">
      <c r="A560" s="107"/>
      <c r="B560" s="213"/>
      <c r="C560" s="75"/>
      <c r="D560" s="80">
        <v>2026</v>
      </c>
      <c r="E560" s="77">
        <f t="shared" ref="E560" si="59">F560+G560+H560+J560</f>
        <v>0</v>
      </c>
      <c r="F560" s="86">
        <v>0</v>
      </c>
      <c r="G560" s="77">
        <v>0</v>
      </c>
      <c r="H560" s="77">
        <v>0</v>
      </c>
      <c r="I560" s="77">
        <v>0</v>
      </c>
      <c r="J560" s="77">
        <v>0</v>
      </c>
      <c r="K560" s="80"/>
      <c r="L560" s="155"/>
      <c r="M560" s="143"/>
    </row>
    <row r="561" ht="17.25" customHeight="1" spans="1:13">
      <c r="A561" s="107"/>
      <c r="B561" s="213"/>
      <c r="C561" s="75"/>
      <c r="D561" s="80">
        <v>2027</v>
      </c>
      <c r="E561" s="77">
        <f t="shared" si="51"/>
        <v>0</v>
      </c>
      <c r="F561" s="86">
        <v>0</v>
      </c>
      <c r="G561" s="77">
        <v>0</v>
      </c>
      <c r="H561" s="77">
        <v>0</v>
      </c>
      <c r="I561" s="77">
        <v>0</v>
      </c>
      <c r="J561" s="77">
        <v>0</v>
      </c>
      <c r="K561" s="80"/>
      <c r="L561" s="155"/>
      <c r="M561" s="143"/>
    </row>
    <row r="562" ht="17.25" customHeight="1" spans="1:13">
      <c r="A562" s="107"/>
      <c r="B562" s="213"/>
      <c r="C562" s="75"/>
      <c r="D562" s="80">
        <v>2028</v>
      </c>
      <c r="E562" s="77">
        <f>F562+G562+H562+I562+J562</f>
        <v>0</v>
      </c>
      <c r="F562" s="86">
        <v>0</v>
      </c>
      <c r="G562" s="77">
        <v>0</v>
      </c>
      <c r="H562" s="77">
        <v>0</v>
      </c>
      <c r="I562" s="77">
        <v>0</v>
      </c>
      <c r="J562" s="77">
        <v>0</v>
      </c>
      <c r="K562" s="80"/>
      <c r="L562" s="155"/>
      <c r="M562" s="143"/>
    </row>
    <row r="563" ht="17.25" customHeight="1" spans="1:13">
      <c r="A563" s="107" t="s">
        <v>263</v>
      </c>
      <c r="B563" s="213" t="s">
        <v>264</v>
      </c>
      <c r="C563" s="75" t="e">
        <f>#REF!+#REF!+#REF!+#REF!+#REF!+#REF!+#REF!+#REF!</f>
        <v>#REF!</v>
      </c>
      <c r="D563" s="76">
        <v>2018</v>
      </c>
      <c r="E563" s="77">
        <f t="shared" si="51"/>
        <v>4300</v>
      </c>
      <c r="F563" s="77">
        <v>0</v>
      </c>
      <c r="G563" s="77">
        <v>4300</v>
      </c>
      <c r="H563" s="77">
        <v>0</v>
      </c>
      <c r="I563" s="77">
        <v>0</v>
      </c>
      <c r="J563" s="77">
        <v>0</v>
      </c>
      <c r="K563" s="80" t="s">
        <v>265</v>
      </c>
      <c r="L563" s="155" t="s">
        <v>266</v>
      </c>
      <c r="M563" s="143"/>
    </row>
    <row r="564" ht="17.25" customHeight="1" spans="1:13">
      <c r="A564" s="107"/>
      <c r="B564" s="213"/>
      <c r="C564" s="75"/>
      <c r="D564" s="76">
        <v>2019</v>
      </c>
      <c r="E564" s="77">
        <f t="shared" ref="E564:E651" si="60">F564+G564+H564+J564</f>
        <v>4310</v>
      </c>
      <c r="F564" s="77">
        <v>0</v>
      </c>
      <c r="G564" s="77">
        <v>4310</v>
      </c>
      <c r="H564" s="77">
        <v>0</v>
      </c>
      <c r="I564" s="77">
        <v>0</v>
      </c>
      <c r="J564" s="77">
        <v>0</v>
      </c>
      <c r="K564" s="80"/>
      <c r="L564" s="155"/>
      <c r="M564" s="143"/>
    </row>
    <row r="565" ht="17.25" customHeight="1" spans="1:13">
      <c r="A565" s="107"/>
      <c r="B565" s="213"/>
      <c r="C565" s="75"/>
      <c r="D565" s="80">
        <v>2020</v>
      </c>
      <c r="E565" s="77">
        <f t="shared" si="60"/>
        <v>200</v>
      </c>
      <c r="F565" s="86">
        <v>0</v>
      </c>
      <c r="G565" s="77">
        <v>200</v>
      </c>
      <c r="H565" s="77">
        <v>0</v>
      </c>
      <c r="I565" s="77">
        <v>0</v>
      </c>
      <c r="J565" s="77">
        <v>0</v>
      </c>
      <c r="K565" s="80"/>
      <c r="L565" s="155"/>
      <c r="M565" s="143"/>
    </row>
    <row r="566" ht="17.25" customHeight="1" spans="1:13">
      <c r="A566" s="107"/>
      <c r="B566" s="213"/>
      <c r="C566" s="75"/>
      <c r="D566" s="80">
        <v>2021</v>
      </c>
      <c r="E566" s="77">
        <f t="shared" si="60"/>
        <v>10500</v>
      </c>
      <c r="F566" s="86">
        <v>0</v>
      </c>
      <c r="G566" s="77">
        <v>10500</v>
      </c>
      <c r="H566" s="77">
        <v>0</v>
      </c>
      <c r="I566" s="77">
        <v>0</v>
      </c>
      <c r="J566" s="77">
        <v>0</v>
      </c>
      <c r="K566" s="80"/>
      <c r="L566" s="155"/>
      <c r="M566" s="143"/>
    </row>
    <row r="567" ht="17.25" customHeight="1" spans="1:13">
      <c r="A567" s="107"/>
      <c r="B567" s="213"/>
      <c r="C567" s="75"/>
      <c r="D567" s="80">
        <v>2022</v>
      </c>
      <c r="E567" s="77">
        <f t="shared" si="60"/>
        <v>31705.5</v>
      </c>
      <c r="F567" s="86">
        <v>0</v>
      </c>
      <c r="G567" s="77">
        <v>31705.5</v>
      </c>
      <c r="H567" s="77">
        <v>0</v>
      </c>
      <c r="I567" s="77">
        <v>0</v>
      </c>
      <c r="J567" s="77">
        <v>0</v>
      </c>
      <c r="K567" s="80"/>
      <c r="L567" s="155"/>
      <c r="M567" s="143"/>
    </row>
    <row r="568" ht="17.25" customHeight="1" spans="1:13">
      <c r="A568" s="107"/>
      <c r="B568" s="213"/>
      <c r="C568" s="75"/>
      <c r="D568" s="80">
        <v>2023</v>
      </c>
      <c r="E568" s="77">
        <f t="shared" si="60"/>
        <v>8000</v>
      </c>
      <c r="F568" s="86">
        <v>0</v>
      </c>
      <c r="G568" s="77">
        <v>8000</v>
      </c>
      <c r="H568" s="77">
        <v>0</v>
      </c>
      <c r="I568" s="77">
        <v>0</v>
      </c>
      <c r="J568" s="77">
        <v>0</v>
      </c>
      <c r="K568" s="80"/>
      <c r="L568" s="155"/>
      <c r="M568" s="143"/>
    </row>
    <row r="569" ht="17.25" customHeight="1" spans="1:13">
      <c r="A569" s="107"/>
      <c r="B569" s="213"/>
      <c r="C569" s="75"/>
      <c r="D569" s="80">
        <v>2024</v>
      </c>
      <c r="E569" s="77">
        <f t="shared" si="60"/>
        <v>7300</v>
      </c>
      <c r="F569" s="86">
        <v>0</v>
      </c>
      <c r="G569" s="77">
        <f>3500+3800</f>
        <v>7300</v>
      </c>
      <c r="H569" s="77">
        <v>0</v>
      </c>
      <c r="I569" s="77">
        <v>0</v>
      </c>
      <c r="J569" s="77">
        <v>0</v>
      </c>
      <c r="K569" s="80"/>
      <c r="L569" s="155"/>
      <c r="M569" s="143"/>
    </row>
    <row r="570" ht="17.25" customHeight="1" spans="1:13">
      <c r="A570" s="107"/>
      <c r="B570" s="213"/>
      <c r="C570" s="75"/>
      <c r="D570" s="80">
        <v>2025</v>
      </c>
      <c r="E570" s="77">
        <f t="shared" si="60"/>
        <v>10700</v>
      </c>
      <c r="F570" s="86">
        <v>0</v>
      </c>
      <c r="G570" s="77">
        <v>10700</v>
      </c>
      <c r="H570" s="77">
        <v>0</v>
      </c>
      <c r="I570" s="77">
        <v>0</v>
      </c>
      <c r="J570" s="77">
        <v>0</v>
      </c>
      <c r="K570" s="80"/>
      <c r="L570" s="155"/>
      <c r="M570" s="143"/>
    </row>
    <row r="571" ht="17.25" customHeight="1" spans="1:13">
      <c r="A571" s="107"/>
      <c r="B571" s="213"/>
      <c r="C571" s="75"/>
      <c r="D571" s="80">
        <v>2026</v>
      </c>
      <c r="E571" s="77">
        <f t="shared" ref="E571" si="61">F571+G571+H571+J571</f>
        <v>0</v>
      </c>
      <c r="F571" s="86">
        <v>0</v>
      </c>
      <c r="G571" s="77">
        <v>0</v>
      </c>
      <c r="H571" s="77">
        <v>0</v>
      </c>
      <c r="I571" s="77">
        <v>0</v>
      </c>
      <c r="J571" s="77">
        <v>0</v>
      </c>
      <c r="K571" s="80"/>
      <c r="L571" s="155"/>
      <c r="M571" s="143"/>
    </row>
    <row r="572" ht="17.25" customHeight="1" spans="1:13">
      <c r="A572" s="107"/>
      <c r="B572" s="213"/>
      <c r="C572" s="75"/>
      <c r="D572" s="80">
        <v>2027</v>
      </c>
      <c r="E572" s="77">
        <f t="shared" si="60"/>
        <v>0</v>
      </c>
      <c r="F572" s="86">
        <v>0</v>
      </c>
      <c r="G572" s="77">
        <v>0</v>
      </c>
      <c r="H572" s="77">
        <v>0</v>
      </c>
      <c r="I572" s="77">
        <v>0</v>
      </c>
      <c r="J572" s="77">
        <v>0</v>
      </c>
      <c r="K572" s="80"/>
      <c r="L572" s="155"/>
      <c r="M572" s="143"/>
    </row>
    <row r="573" ht="17.25" customHeight="1" spans="1:13">
      <c r="A573" s="107"/>
      <c r="B573" s="213"/>
      <c r="C573" s="75"/>
      <c r="D573" s="80">
        <v>2028</v>
      </c>
      <c r="E573" s="77">
        <f>F573+G573+H573+I573+J573</f>
        <v>0</v>
      </c>
      <c r="F573" s="86">
        <v>0</v>
      </c>
      <c r="G573" s="77">
        <v>0</v>
      </c>
      <c r="H573" s="77">
        <v>0</v>
      </c>
      <c r="I573" s="77">
        <v>0</v>
      </c>
      <c r="J573" s="77">
        <v>0</v>
      </c>
      <c r="K573" s="80"/>
      <c r="L573" s="155"/>
      <c r="M573" s="143"/>
    </row>
    <row r="574" ht="18.2" customHeight="1" spans="1:13">
      <c r="A574" s="107" t="s">
        <v>267</v>
      </c>
      <c r="B574" s="213" t="s">
        <v>268</v>
      </c>
      <c r="C574" s="75" t="e">
        <f>#REF!+#REF!+#REF!+#REF!+#REF!+#REF!+#REF!+#REF!</f>
        <v>#REF!</v>
      </c>
      <c r="D574" s="76">
        <v>2018</v>
      </c>
      <c r="E574" s="77">
        <f t="shared" si="60"/>
        <v>6131.5</v>
      </c>
      <c r="F574" s="77">
        <v>0</v>
      </c>
      <c r="G574" s="77">
        <v>0</v>
      </c>
      <c r="H574" s="77">
        <v>6131.5</v>
      </c>
      <c r="I574" s="77">
        <v>0</v>
      </c>
      <c r="J574" s="77">
        <v>0</v>
      </c>
      <c r="K574" s="80" t="s">
        <v>269</v>
      </c>
      <c r="L574" s="155" t="s">
        <v>35</v>
      </c>
      <c r="M574" s="143"/>
    </row>
    <row r="575" ht="18.2" customHeight="1" spans="1:13">
      <c r="A575" s="107"/>
      <c r="B575" s="213"/>
      <c r="C575" s="75"/>
      <c r="D575" s="76">
        <v>2019</v>
      </c>
      <c r="E575" s="77">
        <f t="shared" si="60"/>
        <v>1236.5</v>
      </c>
      <c r="F575" s="77">
        <v>0</v>
      </c>
      <c r="G575" s="77">
        <v>0</v>
      </c>
      <c r="H575" s="77">
        <v>1236.5</v>
      </c>
      <c r="I575" s="77">
        <v>0</v>
      </c>
      <c r="J575" s="77">
        <v>0</v>
      </c>
      <c r="K575" s="80"/>
      <c r="L575" s="155"/>
      <c r="M575" s="143"/>
    </row>
    <row r="576" ht="18.2" customHeight="1" spans="1:13">
      <c r="A576" s="107"/>
      <c r="B576" s="213"/>
      <c r="C576" s="75"/>
      <c r="D576" s="80">
        <v>2020</v>
      </c>
      <c r="E576" s="77">
        <f t="shared" si="60"/>
        <v>3843.7</v>
      </c>
      <c r="F576" s="86">
        <v>0</v>
      </c>
      <c r="G576" s="77">
        <v>0</v>
      </c>
      <c r="H576" s="77">
        <v>3843.7</v>
      </c>
      <c r="I576" s="77">
        <v>0</v>
      </c>
      <c r="J576" s="77">
        <v>0</v>
      </c>
      <c r="K576" s="80"/>
      <c r="L576" s="155"/>
      <c r="M576" s="143"/>
    </row>
    <row r="577" ht="18.2" customHeight="1" spans="1:13">
      <c r="A577" s="107"/>
      <c r="B577" s="213"/>
      <c r="C577" s="75"/>
      <c r="D577" s="80">
        <v>2021</v>
      </c>
      <c r="E577" s="77">
        <f t="shared" si="60"/>
        <v>19916.3</v>
      </c>
      <c r="F577" s="86">
        <v>0</v>
      </c>
      <c r="G577" s="77">
        <v>0</v>
      </c>
      <c r="H577" s="77">
        <v>19916.3</v>
      </c>
      <c r="I577" s="77">
        <v>0</v>
      </c>
      <c r="J577" s="77">
        <v>0</v>
      </c>
      <c r="K577" s="80"/>
      <c r="L577" s="155"/>
      <c r="M577" s="143"/>
    </row>
    <row r="578" ht="18.2" customHeight="1" spans="1:13">
      <c r="A578" s="107"/>
      <c r="B578" s="213"/>
      <c r="C578" s="75"/>
      <c r="D578" s="80">
        <v>2022</v>
      </c>
      <c r="E578" s="77">
        <f t="shared" si="60"/>
        <v>41671.3</v>
      </c>
      <c r="F578" s="86">
        <v>0</v>
      </c>
      <c r="G578" s="77">
        <v>0</v>
      </c>
      <c r="H578" s="77">
        <f>37419.8+67.8+938.6+382.5+9.1+98.1+341.4+754+1076.4+300+741.4+929.4+458.2+555.9+451.4+79.5-301.5+186.4-2817.1</f>
        <v>41671.3</v>
      </c>
      <c r="I578" s="77">
        <v>0</v>
      </c>
      <c r="J578" s="77">
        <v>0</v>
      </c>
      <c r="K578" s="80"/>
      <c r="L578" s="155"/>
      <c r="M578" s="143"/>
    </row>
    <row r="579" ht="18.2" customHeight="1" spans="1:13">
      <c r="A579" s="107"/>
      <c r="B579" s="213"/>
      <c r="C579" s="75"/>
      <c r="D579" s="80">
        <v>2023</v>
      </c>
      <c r="E579" s="77">
        <f t="shared" si="60"/>
        <v>35816.8</v>
      </c>
      <c r="F579" s="86">
        <v>0</v>
      </c>
      <c r="G579" s="77">
        <v>0</v>
      </c>
      <c r="H579" s="77">
        <f>18731.2-1923.4+4662.5-379.3-1786.1+3828.5+1500+183.8+3000+300+120+450+381.1+60-271+58.5-305+305+6901</f>
        <v>35816.8</v>
      </c>
      <c r="I579" s="77">
        <v>0</v>
      </c>
      <c r="J579" s="77">
        <v>0</v>
      </c>
      <c r="K579" s="80"/>
      <c r="L579" s="155"/>
      <c r="M579" s="143"/>
    </row>
    <row r="580" ht="18.2" customHeight="1" spans="1:13">
      <c r="A580" s="107"/>
      <c r="B580" s="213"/>
      <c r="C580" s="75"/>
      <c r="D580" s="80">
        <v>2024</v>
      </c>
      <c r="E580" s="77">
        <f t="shared" si="60"/>
        <v>46398.9</v>
      </c>
      <c r="F580" s="86">
        <v>0</v>
      </c>
      <c r="G580" s="77">
        <v>0</v>
      </c>
      <c r="H580" s="87">
        <f>17685.2+12538.9+14566.7+285.8+96-354.3-609.6+2249+120+246-395-354.5+443.7+318+395+354.5-443.7-318+420+1874.9-748-154+154-1913.4-333.9-155.2-157.3+695-106.9</f>
        <v>46398.9</v>
      </c>
      <c r="I580" s="77">
        <v>0</v>
      </c>
      <c r="J580" s="77">
        <v>0</v>
      </c>
      <c r="K580" s="80"/>
      <c r="L580" s="155"/>
      <c r="M580" s="143"/>
    </row>
    <row r="581" ht="18.2" customHeight="1" spans="1:13">
      <c r="A581" s="107"/>
      <c r="B581" s="213"/>
      <c r="C581" s="75"/>
      <c r="D581" s="80">
        <v>2025</v>
      </c>
      <c r="E581" s="77">
        <f t="shared" si="60"/>
        <v>23432.5</v>
      </c>
      <c r="F581" s="86">
        <v>0</v>
      </c>
      <c r="G581" s="77">
        <v>0</v>
      </c>
      <c r="H581" s="87">
        <f>5318.1+1512.6+15179.2+6.4+4067.4+1548.9-1235-625-1092-162.2-77.8+96.6-563.7-260-281</f>
        <v>23432.5</v>
      </c>
      <c r="I581" s="77">
        <v>0</v>
      </c>
      <c r="J581" s="77">
        <v>0</v>
      </c>
      <c r="K581" s="80"/>
      <c r="L581" s="155"/>
      <c r="M581" s="143"/>
    </row>
    <row r="582" ht="18.2" customHeight="1" spans="1:13">
      <c r="A582" s="107"/>
      <c r="B582" s="213"/>
      <c r="C582" s="75"/>
      <c r="D582" s="80">
        <v>2026</v>
      </c>
      <c r="E582" s="77">
        <f t="shared" ref="E582" si="62">F582+G582+H582+J582</f>
        <v>32820.5</v>
      </c>
      <c r="F582" s="86">
        <v>0</v>
      </c>
      <c r="G582" s="77">
        <v>0</v>
      </c>
      <c r="H582" s="87">
        <f>20403.4+12417.1</f>
        <v>32820.5</v>
      </c>
      <c r="I582" s="77">
        <v>0</v>
      </c>
      <c r="J582" s="77">
        <v>0</v>
      </c>
      <c r="K582" s="80"/>
      <c r="L582" s="155"/>
      <c r="M582" s="143"/>
    </row>
    <row r="583" ht="18.2" customHeight="1" spans="1:13">
      <c r="A583" s="107"/>
      <c r="B583" s="213"/>
      <c r="C583" s="75"/>
      <c r="D583" s="80">
        <v>2027</v>
      </c>
      <c r="E583" s="77">
        <f t="shared" si="60"/>
        <v>0</v>
      </c>
      <c r="F583" s="86">
        <v>0</v>
      </c>
      <c r="G583" s="77">
        <v>0</v>
      </c>
      <c r="H583" s="87">
        <v>0</v>
      </c>
      <c r="I583" s="77">
        <v>0</v>
      </c>
      <c r="J583" s="77">
        <v>0</v>
      </c>
      <c r="K583" s="80"/>
      <c r="L583" s="155"/>
      <c r="M583" s="143"/>
    </row>
    <row r="584" ht="18.2" customHeight="1" spans="1:13">
      <c r="A584" s="107"/>
      <c r="B584" s="213"/>
      <c r="C584" s="75"/>
      <c r="D584" s="80">
        <v>2028</v>
      </c>
      <c r="E584" s="77">
        <v>0</v>
      </c>
      <c r="F584" s="86">
        <v>0</v>
      </c>
      <c r="G584" s="77">
        <v>0</v>
      </c>
      <c r="H584" s="87">
        <v>0</v>
      </c>
      <c r="I584" s="77">
        <v>0</v>
      </c>
      <c r="J584" s="77">
        <v>0</v>
      </c>
      <c r="K584" s="80"/>
      <c r="L584" s="155"/>
      <c r="M584" s="143"/>
    </row>
    <row r="585" ht="18.2" customHeight="1" spans="1:13">
      <c r="A585" s="107" t="s">
        <v>270</v>
      </c>
      <c r="B585" s="213" t="s">
        <v>271</v>
      </c>
      <c r="C585" s="75" t="e">
        <f>#REF!+#REF!+#REF!+#REF!+#REF!+#REF!+#REF!+#REF!</f>
        <v>#REF!</v>
      </c>
      <c r="D585" s="76">
        <v>2018</v>
      </c>
      <c r="E585" s="77">
        <f t="shared" si="60"/>
        <v>0</v>
      </c>
      <c r="F585" s="77">
        <v>0</v>
      </c>
      <c r="G585" s="77">
        <v>0</v>
      </c>
      <c r="H585" s="77">
        <v>0</v>
      </c>
      <c r="I585" s="77">
        <v>0</v>
      </c>
      <c r="J585" s="77">
        <v>0</v>
      </c>
      <c r="K585" s="80" t="s">
        <v>272</v>
      </c>
      <c r="L585" s="155" t="s">
        <v>35</v>
      </c>
      <c r="M585" s="143"/>
    </row>
    <row r="586" ht="18.2" customHeight="1" spans="1:13">
      <c r="A586" s="107"/>
      <c r="B586" s="213"/>
      <c r="C586" s="75"/>
      <c r="D586" s="76">
        <v>2019</v>
      </c>
      <c r="E586" s="77">
        <f t="shared" si="60"/>
        <v>0</v>
      </c>
      <c r="F586" s="77">
        <v>0</v>
      </c>
      <c r="G586" s="77">
        <v>0</v>
      </c>
      <c r="H586" s="77">
        <v>0</v>
      </c>
      <c r="I586" s="77">
        <v>0</v>
      </c>
      <c r="J586" s="77">
        <v>0</v>
      </c>
      <c r="K586" s="80"/>
      <c r="L586" s="155"/>
      <c r="M586" s="143"/>
    </row>
    <row r="587" ht="18.2" customHeight="1" spans="1:13">
      <c r="A587" s="107"/>
      <c r="B587" s="213"/>
      <c r="C587" s="75"/>
      <c r="D587" s="80">
        <v>2020</v>
      </c>
      <c r="E587" s="77">
        <f t="shared" si="60"/>
        <v>0</v>
      </c>
      <c r="F587" s="86">
        <v>0</v>
      </c>
      <c r="G587" s="77">
        <v>0</v>
      </c>
      <c r="H587" s="77">
        <v>0</v>
      </c>
      <c r="I587" s="77">
        <v>0</v>
      </c>
      <c r="J587" s="77">
        <v>0</v>
      </c>
      <c r="K587" s="80"/>
      <c r="L587" s="155"/>
      <c r="M587" s="143"/>
    </row>
    <row r="588" ht="18.2" customHeight="1" spans="1:13">
      <c r="A588" s="107"/>
      <c r="B588" s="213"/>
      <c r="C588" s="75"/>
      <c r="D588" s="80">
        <v>2021</v>
      </c>
      <c r="E588" s="77">
        <f t="shared" si="60"/>
        <v>900</v>
      </c>
      <c r="F588" s="86">
        <v>0</v>
      </c>
      <c r="G588" s="77">
        <v>0</v>
      </c>
      <c r="H588" s="77">
        <v>900</v>
      </c>
      <c r="I588" s="77">
        <v>0</v>
      </c>
      <c r="J588" s="77">
        <v>0</v>
      </c>
      <c r="K588" s="80"/>
      <c r="L588" s="155"/>
      <c r="M588" s="143"/>
    </row>
    <row r="589" ht="18.2" customHeight="1" spans="1:13">
      <c r="A589" s="107"/>
      <c r="B589" s="213"/>
      <c r="C589" s="75"/>
      <c r="D589" s="80">
        <v>2022</v>
      </c>
      <c r="E589" s="77">
        <f t="shared" si="60"/>
        <v>1016.1</v>
      </c>
      <c r="F589" s="86">
        <v>0</v>
      </c>
      <c r="G589" s="77">
        <v>0</v>
      </c>
      <c r="H589" s="77">
        <v>1016.1</v>
      </c>
      <c r="I589" s="77">
        <v>0</v>
      </c>
      <c r="J589" s="77">
        <v>0</v>
      </c>
      <c r="K589" s="80"/>
      <c r="L589" s="155"/>
      <c r="M589" s="143"/>
    </row>
    <row r="590" ht="18.2" customHeight="1" spans="1:13">
      <c r="A590" s="107"/>
      <c r="B590" s="213"/>
      <c r="C590" s="75"/>
      <c r="D590" s="80">
        <v>2023</v>
      </c>
      <c r="E590" s="77">
        <f t="shared" si="60"/>
        <v>1000</v>
      </c>
      <c r="F590" s="86">
        <v>0</v>
      </c>
      <c r="G590" s="77">
        <v>0</v>
      </c>
      <c r="H590" s="77">
        <v>1000</v>
      </c>
      <c r="I590" s="77">
        <v>0</v>
      </c>
      <c r="J590" s="77">
        <v>0</v>
      </c>
      <c r="K590" s="80"/>
      <c r="L590" s="155"/>
      <c r="M590" s="143"/>
    </row>
    <row r="591" ht="18.2" customHeight="1" spans="1:13">
      <c r="A591" s="107"/>
      <c r="B591" s="213"/>
      <c r="C591" s="75"/>
      <c r="D591" s="80">
        <v>2024</v>
      </c>
      <c r="E591" s="77">
        <f t="shared" si="60"/>
        <v>1000</v>
      </c>
      <c r="F591" s="86">
        <v>0</v>
      </c>
      <c r="G591" s="77">
        <v>0</v>
      </c>
      <c r="H591" s="87">
        <v>1000</v>
      </c>
      <c r="I591" s="77">
        <v>0</v>
      </c>
      <c r="J591" s="77">
        <v>0</v>
      </c>
      <c r="K591" s="80"/>
      <c r="L591" s="155"/>
      <c r="M591" s="143"/>
    </row>
    <row r="592" ht="18.2" customHeight="1" spans="1:13">
      <c r="A592" s="107"/>
      <c r="B592" s="213"/>
      <c r="C592" s="75"/>
      <c r="D592" s="80">
        <v>2025</v>
      </c>
      <c r="E592" s="77">
        <f t="shared" si="60"/>
        <v>1000</v>
      </c>
      <c r="F592" s="86">
        <v>0</v>
      </c>
      <c r="G592" s="77">
        <v>0</v>
      </c>
      <c r="H592" s="87">
        <v>1000</v>
      </c>
      <c r="I592" s="77">
        <v>0</v>
      </c>
      <c r="J592" s="77">
        <v>0</v>
      </c>
      <c r="K592" s="80"/>
      <c r="L592" s="155"/>
      <c r="M592" s="143"/>
    </row>
    <row r="593" ht="18.2" customHeight="1" spans="1:13">
      <c r="A593" s="107"/>
      <c r="B593" s="216" t="s">
        <v>273</v>
      </c>
      <c r="C593" s="75"/>
      <c r="D593" s="80">
        <v>2026</v>
      </c>
      <c r="E593" s="77">
        <f t="shared" ref="E593" si="63">F593+G593+H593+J593</f>
        <v>1000</v>
      </c>
      <c r="F593" s="86">
        <v>0</v>
      </c>
      <c r="G593" s="77">
        <v>0</v>
      </c>
      <c r="H593" s="87">
        <v>1000</v>
      </c>
      <c r="I593" s="77">
        <v>0</v>
      </c>
      <c r="J593" s="77">
        <v>0</v>
      </c>
      <c r="K593" s="80"/>
      <c r="L593" s="155"/>
      <c r="M593" s="143"/>
    </row>
    <row r="594" ht="18.2" customHeight="1" spans="1:13">
      <c r="A594" s="107"/>
      <c r="B594" s="216"/>
      <c r="C594" s="75"/>
      <c r="D594" s="80">
        <v>2027</v>
      </c>
      <c r="E594" s="77">
        <f t="shared" si="60"/>
        <v>1000</v>
      </c>
      <c r="F594" s="86">
        <v>0</v>
      </c>
      <c r="G594" s="77">
        <v>0</v>
      </c>
      <c r="H594" s="87">
        <v>1000</v>
      </c>
      <c r="I594" s="77">
        <v>0</v>
      </c>
      <c r="J594" s="77">
        <v>0</v>
      </c>
      <c r="K594" s="80"/>
      <c r="L594" s="155"/>
      <c r="M594" s="143"/>
    </row>
    <row r="595" s="23" customFormat="1" ht="18.2" customHeight="1" spans="1:13">
      <c r="A595" s="107"/>
      <c r="B595" s="216"/>
      <c r="C595" s="75"/>
      <c r="D595" s="80">
        <v>2028</v>
      </c>
      <c r="E595" s="77">
        <f>F595+G595+H595+J595+I595</f>
        <v>1000</v>
      </c>
      <c r="F595" s="86">
        <v>0</v>
      </c>
      <c r="G595" s="77">
        <v>0</v>
      </c>
      <c r="H595" s="87">
        <v>1000</v>
      </c>
      <c r="I595" s="77">
        <v>0</v>
      </c>
      <c r="J595" s="77">
        <v>0</v>
      </c>
      <c r="K595" s="80"/>
      <c r="L595" s="155"/>
      <c r="M595" s="194"/>
    </row>
    <row r="596" customHeight="1" spans="1:13">
      <c r="A596" s="107" t="s">
        <v>274</v>
      </c>
      <c r="B596" s="213" t="s">
        <v>275</v>
      </c>
      <c r="C596" s="75" t="e">
        <f>#REF!+#REF!+#REF!+#REF!+#REF!+#REF!+#REF!+#REF!</f>
        <v>#REF!</v>
      </c>
      <c r="D596" s="181">
        <v>2018</v>
      </c>
      <c r="E596" s="88">
        <f t="shared" si="60"/>
        <v>0</v>
      </c>
      <c r="F596" s="88">
        <v>0</v>
      </c>
      <c r="G596" s="88">
        <v>0</v>
      </c>
      <c r="H596" s="88">
        <v>0</v>
      </c>
      <c r="I596" s="88">
        <v>0</v>
      </c>
      <c r="J596" s="88">
        <v>0</v>
      </c>
      <c r="K596" s="80" t="s">
        <v>276</v>
      </c>
      <c r="L596" s="155" t="s">
        <v>35</v>
      </c>
      <c r="M596" s="143"/>
    </row>
    <row r="597" customHeight="1" spans="1:13">
      <c r="A597" s="107"/>
      <c r="B597" s="213"/>
      <c r="C597" s="75"/>
      <c r="D597" s="76">
        <v>2019</v>
      </c>
      <c r="E597" s="77">
        <f t="shared" si="60"/>
        <v>0</v>
      </c>
      <c r="F597" s="77">
        <v>0</v>
      </c>
      <c r="G597" s="77">
        <v>0</v>
      </c>
      <c r="H597" s="77">
        <v>0</v>
      </c>
      <c r="I597" s="77">
        <v>0</v>
      </c>
      <c r="J597" s="77">
        <v>0</v>
      </c>
      <c r="K597" s="80"/>
      <c r="L597" s="155"/>
      <c r="M597" s="143"/>
    </row>
    <row r="598" customHeight="1" spans="1:13">
      <c r="A598" s="107"/>
      <c r="B598" s="213"/>
      <c r="C598" s="75"/>
      <c r="D598" s="80">
        <v>2020</v>
      </c>
      <c r="E598" s="77">
        <f t="shared" si="60"/>
        <v>0</v>
      </c>
      <c r="F598" s="86">
        <v>0</v>
      </c>
      <c r="G598" s="77">
        <v>0</v>
      </c>
      <c r="H598" s="77">
        <v>0</v>
      </c>
      <c r="I598" s="77">
        <v>0</v>
      </c>
      <c r="J598" s="77">
        <v>0</v>
      </c>
      <c r="K598" s="80"/>
      <c r="L598" s="155"/>
      <c r="M598" s="143"/>
    </row>
    <row r="599" customHeight="1" spans="1:13">
      <c r="A599" s="107"/>
      <c r="B599" s="213"/>
      <c r="C599" s="75"/>
      <c r="D599" s="80">
        <v>2021</v>
      </c>
      <c r="E599" s="77">
        <f t="shared" si="60"/>
        <v>0</v>
      </c>
      <c r="F599" s="86">
        <v>0</v>
      </c>
      <c r="G599" s="77">
        <v>0</v>
      </c>
      <c r="H599" s="77">
        <v>0</v>
      </c>
      <c r="I599" s="77">
        <v>0</v>
      </c>
      <c r="J599" s="77">
        <v>0</v>
      </c>
      <c r="K599" s="80"/>
      <c r="L599" s="155"/>
      <c r="M599" s="143"/>
    </row>
    <row r="600" customHeight="1" spans="1:13">
      <c r="A600" s="107"/>
      <c r="B600" s="213"/>
      <c r="C600" s="75"/>
      <c r="D600" s="80">
        <v>2022</v>
      </c>
      <c r="E600" s="77">
        <f t="shared" si="60"/>
        <v>0</v>
      </c>
      <c r="F600" s="86">
        <v>0</v>
      </c>
      <c r="G600" s="77">
        <v>0</v>
      </c>
      <c r="H600" s="77">
        <v>0</v>
      </c>
      <c r="I600" s="77">
        <v>0</v>
      </c>
      <c r="J600" s="77">
        <v>0</v>
      </c>
      <c r="K600" s="80"/>
      <c r="L600" s="155"/>
      <c r="M600" s="143"/>
    </row>
    <row r="601" customHeight="1" spans="1:13">
      <c r="A601" s="107"/>
      <c r="B601" s="213"/>
      <c r="C601" s="75"/>
      <c r="D601" s="80">
        <v>2023</v>
      </c>
      <c r="E601" s="77">
        <f t="shared" si="60"/>
        <v>0</v>
      </c>
      <c r="F601" s="86">
        <v>0</v>
      </c>
      <c r="G601" s="77">
        <v>0</v>
      </c>
      <c r="H601" s="77">
        <v>0</v>
      </c>
      <c r="I601" s="77">
        <v>0</v>
      </c>
      <c r="J601" s="77">
        <v>0</v>
      </c>
      <c r="K601" s="80"/>
      <c r="L601" s="155"/>
      <c r="M601" s="143"/>
    </row>
    <row r="602" customHeight="1" spans="1:13">
      <c r="A602" s="107"/>
      <c r="B602" s="213"/>
      <c r="C602" s="75"/>
      <c r="D602" s="80">
        <v>2024</v>
      </c>
      <c r="E602" s="77">
        <f t="shared" si="60"/>
        <v>0</v>
      </c>
      <c r="F602" s="86">
        <v>0</v>
      </c>
      <c r="G602" s="77">
        <v>0</v>
      </c>
      <c r="H602" s="77">
        <v>0</v>
      </c>
      <c r="I602" s="77">
        <v>0</v>
      </c>
      <c r="J602" s="77">
        <v>0</v>
      </c>
      <c r="K602" s="80"/>
      <c r="L602" s="155"/>
      <c r="M602" s="143"/>
    </row>
    <row r="603" customHeight="1" spans="1:13">
      <c r="A603" s="107"/>
      <c r="B603" s="213"/>
      <c r="C603" s="75"/>
      <c r="D603" s="80">
        <v>2025</v>
      </c>
      <c r="E603" s="77">
        <f t="shared" si="60"/>
        <v>0</v>
      </c>
      <c r="F603" s="86">
        <v>0</v>
      </c>
      <c r="G603" s="77">
        <v>0</v>
      </c>
      <c r="H603" s="77">
        <v>0</v>
      </c>
      <c r="I603" s="77">
        <v>0</v>
      </c>
      <c r="J603" s="77">
        <v>0</v>
      </c>
      <c r="K603" s="80"/>
      <c r="L603" s="155"/>
      <c r="M603" s="143"/>
    </row>
    <row r="604" customHeight="1" spans="1:13">
      <c r="A604" s="107"/>
      <c r="B604" s="213"/>
      <c r="C604" s="75"/>
      <c r="D604" s="80">
        <v>2026</v>
      </c>
      <c r="E604" s="77">
        <f t="shared" ref="E604" si="64">F604+G604+H604+J604</f>
        <v>0</v>
      </c>
      <c r="F604" s="86">
        <v>0</v>
      </c>
      <c r="G604" s="77">
        <v>0</v>
      </c>
      <c r="H604" s="77">
        <v>0</v>
      </c>
      <c r="I604" s="77">
        <v>0</v>
      </c>
      <c r="J604" s="77">
        <v>0</v>
      </c>
      <c r="K604" s="80"/>
      <c r="L604" s="155"/>
      <c r="M604" s="143"/>
    </row>
    <row r="605" customHeight="1" spans="1:13">
      <c r="A605" s="107"/>
      <c r="B605" s="213"/>
      <c r="C605" s="75"/>
      <c r="D605" s="80">
        <v>2027</v>
      </c>
      <c r="E605" s="77">
        <f t="shared" si="60"/>
        <v>0</v>
      </c>
      <c r="F605" s="86">
        <v>0</v>
      </c>
      <c r="G605" s="77">
        <v>0</v>
      </c>
      <c r="H605" s="77">
        <v>0</v>
      </c>
      <c r="I605" s="77">
        <v>0</v>
      </c>
      <c r="J605" s="77">
        <v>0</v>
      </c>
      <c r="K605" s="80"/>
      <c r="L605" s="155"/>
      <c r="M605" s="143"/>
    </row>
    <row r="606" customHeight="1" spans="1:13">
      <c r="A606" s="107"/>
      <c r="B606" s="213"/>
      <c r="C606" s="75"/>
      <c r="D606" s="80">
        <v>2028</v>
      </c>
      <c r="E606" s="77">
        <f>F606+G606+H606+I606+J606</f>
        <v>0</v>
      </c>
      <c r="F606" s="86">
        <v>0</v>
      </c>
      <c r="G606" s="77">
        <v>0</v>
      </c>
      <c r="H606" s="77">
        <v>0</v>
      </c>
      <c r="I606" s="77">
        <v>0</v>
      </c>
      <c r="J606" s="77">
        <v>0</v>
      </c>
      <c r="K606" s="80"/>
      <c r="L606" s="155"/>
      <c r="M606" s="143"/>
    </row>
    <row r="607" ht="20.1" customHeight="1" spans="1:13">
      <c r="A607" s="107" t="s">
        <v>277</v>
      </c>
      <c r="B607" s="213" t="s">
        <v>278</v>
      </c>
      <c r="C607" s="75" t="e">
        <f>#REF!+#REF!+#REF!+#REF!+#REF!+#REF!+#REF!+#REF!</f>
        <v>#REF!</v>
      </c>
      <c r="D607" s="76">
        <v>2018</v>
      </c>
      <c r="E607" s="77">
        <f t="shared" si="60"/>
        <v>30774.9</v>
      </c>
      <c r="F607" s="77">
        <v>0</v>
      </c>
      <c r="G607" s="77">
        <v>29236.1</v>
      </c>
      <c r="H607" s="77">
        <v>1538.8</v>
      </c>
      <c r="I607" s="77">
        <v>1538.8</v>
      </c>
      <c r="J607" s="77">
        <v>0</v>
      </c>
      <c r="K607" s="80" t="s">
        <v>279</v>
      </c>
      <c r="L607" s="155" t="s">
        <v>280</v>
      </c>
      <c r="M607" s="143"/>
    </row>
    <row r="608" ht="20.1" customHeight="1" spans="1:13">
      <c r="A608" s="107"/>
      <c r="B608" s="213"/>
      <c r="C608" s="75"/>
      <c r="D608" s="76">
        <v>2019</v>
      </c>
      <c r="E608" s="77">
        <f t="shared" si="60"/>
        <v>0</v>
      </c>
      <c r="F608" s="77">
        <v>0</v>
      </c>
      <c r="G608" s="77">
        <v>0</v>
      </c>
      <c r="H608" s="77">
        <v>0</v>
      </c>
      <c r="I608" s="77">
        <v>0</v>
      </c>
      <c r="J608" s="77">
        <v>0</v>
      </c>
      <c r="K608" s="80"/>
      <c r="L608" s="155"/>
      <c r="M608" s="143"/>
    </row>
    <row r="609" ht="20.1" customHeight="1" spans="1:13">
      <c r="A609" s="107"/>
      <c r="B609" s="213"/>
      <c r="C609" s="75"/>
      <c r="D609" s="80">
        <v>2020</v>
      </c>
      <c r="E609" s="77">
        <f t="shared" si="60"/>
        <v>0</v>
      </c>
      <c r="F609" s="86">
        <v>0</v>
      </c>
      <c r="G609" s="77">
        <v>0</v>
      </c>
      <c r="H609" s="77">
        <v>0</v>
      </c>
      <c r="I609" s="77">
        <v>0</v>
      </c>
      <c r="J609" s="77">
        <v>0</v>
      </c>
      <c r="K609" s="80"/>
      <c r="L609" s="155"/>
      <c r="M609" s="143"/>
    </row>
    <row r="610" ht="20.1" customHeight="1" spans="1:13">
      <c r="A610" s="107"/>
      <c r="B610" s="213"/>
      <c r="C610" s="75"/>
      <c r="D610" s="80">
        <v>2021</v>
      </c>
      <c r="E610" s="77">
        <f t="shared" si="60"/>
        <v>0</v>
      </c>
      <c r="F610" s="86">
        <v>0</v>
      </c>
      <c r="G610" s="77">
        <v>0</v>
      </c>
      <c r="H610" s="77">
        <v>0</v>
      </c>
      <c r="I610" s="77">
        <v>0</v>
      </c>
      <c r="J610" s="77">
        <v>0</v>
      </c>
      <c r="K610" s="80"/>
      <c r="L610" s="155"/>
      <c r="M610" s="143"/>
    </row>
    <row r="611" ht="20.1" customHeight="1" spans="1:13">
      <c r="A611" s="107"/>
      <c r="B611" s="213"/>
      <c r="C611" s="75"/>
      <c r="D611" s="80">
        <v>2022</v>
      </c>
      <c r="E611" s="77">
        <f t="shared" si="60"/>
        <v>30000</v>
      </c>
      <c r="F611" s="86">
        <v>0</v>
      </c>
      <c r="G611" s="77">
        <v>18000</v>
      </c>
      <c r="H611" s="77">
        <v>12000</v>
      </c>
      <c r="I611" s="77">
        <v>12000</v>
      </c>
      <c r="J611" s="77">
        <v>0</v>
      </c>
      <c r="K611" s="80"/>
      <c r="L611" s="155"/>
      <c r="M611" s="143"/>
    </row>
    <row r="612" ht="20.1" customHeight="1" spans="1:13">
      <c r="A612" s="107"/>
      <c r="B612" s="213"/>
      <c r="C612" s="75"/>
      <c r="D612" s="80">
        <v>2023</v>
      </c>
      <c r="E612" s="77">
        <f t="shared" si="60"/>
        <v>0</v>
      </c>
      <c r="F612" s="86">
        <v>0</v>
      </c>
      <c r="G612" s="77">
        <v>0</v>
      </c>
      <c r="H612" s="77">
        <v>0</v>
      </c>
      <c r="I612" s="77">
        <v>0</v>
      </c>
      <c r="J612" s="77">
        <v>0</v>
      </c>
      <c r="K612" s="80"/>
      <c r="L612" s="155"/>
      <c r="M612" s="143"/>
    </row>
    <row r="613" ht="20.1" customHeight="1" spans="1:13">
      <c r="A613" s="107"/>
      <c r="B613" s="213"/>
      <c r="C613" s="75"/>
      <c r="D613" s="80">
        <v>2024</v>
      </c>
      <c r="E613" s="77">
        <f t="shared" si="60"/>
        <v>0</v>
      </c>
      <c r="F613" s="86">
        <v>0</v>
      </c>
      <c r="G613" s="77">
        <v>0</v>
      </c>
      <c r="H613" s="77">
        <v>0</v>
      </c>
      <c r="I613" s="77">
        <v>0</v>
      </c>
      <c r="J613" s="77">
        <v>0</v>
      </c>
      <c r="K613" s="80"/>
      <c r="L613" s="155"/>
      <c r="M613" s="143"/>
    </row>
    <row r="614" ht="20.1" customHeight="1" spans="1:13">
      <c r="A614" s="107"/>
      <c r="B614" s="213"/>
      <c r="C614" s="75"/>
      <c r="D614" s="80">
        <v>2025</v>
      </c>
      <c r="E614" s="77">
        <f t="shared" si="60"/>
        <v>0</v>
      </c>
      <c r="F614" s="86">
        <v>0</v>
      </c>
      <c r="G614" s="77">
        <v>0</v>
      </c>
      <c r="H614" s="77">
        <v>0</v>
      </c>
      <c r="I614" s="77">
        <v>0</v>
      </c>
      <c r="J614" s="77">
        <v>0</v>
      </c>
      <c r="K614" s="80"/>
      <c r="L614" s="155"/>
      <c r="M614" s="143"/>
    </row>
    <row r="615" ht="20.1" customHeight="1" spans="1:13">
      <c r="A615" s="107"/>
      <c r="B615" s="213"/>
      <c r="C615" s="75"/>
      <c r="D615" s="80">
        <v>2026</v>
      </c>
      <c r="E615" s="77">
        <f t="shared" ref="E615" si="65">F615+G615+H615+J615</f>
        <v>0</v>
      </c>
      <c r="F615" s="86">
        <v>0</v>
      </c>
      <c r="G615" s="77">
        <v>0</v>
      </c>
      <c r="H615" s="77">
        <v>0</v>
      </c>
      <c r="I615" s="77">
        <v>0</v>
      </c>
      <c r="J615" s="77">
        <v>0</v>
      </c>
      <c r="K615" s="80"/>
      <c r="L615" s="155"/>
      <c r="M615" s="143"/>
    </row>
    <row r="616" ht="20.1" customHeight="1" spans="1:13">
      <c r="A616" s="107"/>
      <c r="B616" s="213"/>
      <c r="C616" s="75"/>
      <c r="D616" s="80">
        <v>2027</v>
      </c>
      <c r="E616" s="77">
        <f t="shared" si="60"/>
        <v>0</v>
      </c>
      <c r="F616" s="86">
        <v>0</v>
      </c>
      <c r="G616" s="77">
        <v>0</v>
      </c>
      <c r="H616" s="77">
        <v>0</v>
      </c>
      <c r="I616" s="77">
        <v>0</v>
      </c>
      <c r="J616" s="77">
        <v>0</v>
      </c>
      <c r="K616" s="80"/>
      <c r="L616" s="155"/>
      <c r="M616" s="143"/>
    </row>
    <row r="617" ht="20.1" customHeight="1" spans="1:13">
      <c r="A617" s="107"/>
      <c r="B617" s="213"/>
      <c r="C617" s="75"/>
      <c r="D617" s="80">
        <v>2028</v>
      </c>
      <c r="E617" s="77">
        <f>F617+G617+H617+I617+J617</f>
        <v>0</v>
      </c>
      <c r="F617" s="86">
        <v>0</v>
      </c>
      <c r="G617" s="77">
        <v>0</v>
      </c>
      <c r="H617" s="77">
        <v>0</v>
      </c>
      <c r="I617" s="77">
        <v>0</v>
      </c>
      <c r="J617" s="77">
        <v>0</v>
      </c>
      <c r="K617" s="80"/>
      <c r="L617" s="155"/>
      <c r="M617" s="143"/>
    </row>
    <row r="618" ht="24.95" customHeight="1" spans="1:13">
      <c r="A618" s="107" t="s">
        <v>281</v>
      </c>
      <c r="B618" s="213" t="s">
        <v>282</v>
      </c>
      <c r="C618" s="75" t="e">
        <f>#REF!+#REF!+#REF!+#REF!+#REF!+#REF!+#REF!+#REF!</f>
        <v>#REF!</v>
      </c>
      <c r="D618" s="76">
        <v>2018</v>
      </c>
      <c r="E618" s="77">
        <f t="shared" si="60"/>
        <v>0</v>
      </c>
      <c r="F618" s="77">
        <v>0</v>
      </c>
      <c r="G618" s="77">
        <v>0</v>
      </c>
      <c r="H618" s="77">
        <v>0</v>
      </c>
      <c r="I618" s="77">
        <v>0</v>
      </c>
      <c r="J618" s="77">
        <v>0</v>
      </c>
      <c r="K618" s="80" t="s">
        <v>283</v>
      </c>
      <c r="L618" s="155" t="s">
        <v>211</v>
      </c>
      <c r="M618" s="143"/>
    </row>
    <row r="619" ht="24.95" customHeight="1" spans="1:13">
      <c r="A619" s="107"/>
      <c r="B619" s="213"/>
      <c r="C619" s="75"/>
      <c r="D619" s="76">
        <v>2019</v>
      </c>
      <c r="E619" s="77">
        <f t="shared" si="60"/>
        <v>4322</v>
      </c>
      <c r="F619" s="77">
        <v>0</v>
      </c>
      <c r="G619" s="77">
        <v>4105.9</v>
      </c>
      <c r="H619" s="77">
        <v>216.1</v>
      </c>
      <c r="I619" s="77">
        <v>216.1</v>
      </c>
      <c r="J619" s="77">
        <v>0</v>
      </c>
      <c r="K619" s="80"/>
      <c r="L619" s="155"/>
      <c r="M619" s="143"/>
    </row>
    <row r="620" ht="24.95" customHeight="1" spans="1:13">
      <c r="A620" s="107"/>
      <c r="B620" s="213"/>
      <c r="C620" s="75"/>
      <c r="D620" s="80">
        <v>2020</v>
      </c>
      <c r="E620" s="77">
        <f t="shared" si="60"/>
        <v>0</v>
      </c>
      <c r="F620" s="86">
        <v>0</v>
      </c>
      <c r="G620" s="77">
        <v>0</v>
      </c>
      <c r="H620" s="77">
        <v>0</v>
      </c>
      <c r="I620" s="77">
        <v>0</v>
      </c>
      <c r="J620" s="77">
        <v>0</v>
      </c>
      <c r="K620" s="80"/>
      <c r="L620" s="155"/>
      <c r="M620" s="143"/>
    </row>
    <row r="621" ht="24.95" customHeight="1" spans="1:13">
      <c r="A621" s="107"/>
      <c r="B621" s="213"/>
      <c r="C621" s="75"/>
      <c r="D621" s="80">
        <v>2021</v>
      </c>
      <c r="E621" s="77">
        <f t="shared" si="60"/>
        <v>0</v>
      </c>
      <c r="F621" s="86">
        <v>0</v>
      </c>
      <c r="G621" s="77">
        <v>0</v>
      </c>
      <c r="H621" s="77">
        <v>0</v>
      </c>
      <c r="I621" s="77">
        <v>0</v>
      </c>
      <c r="J621" s="77">
        <v>0</v>
      </c>
      <c r="K621" s="80"/>
      <c r="L621" s="155"/>
      <c r="M621" s="143"/>
    </row>
    <row r="622" ht="24.95" customHeight="1" spans="1:13">
      <c r="A622" s="107"/>
      <c r="B622" s="213"/>
      <c r="C622" s="75"/>
      <c r="D622" s="80">
        <v>2022</v>
      </c>
      <c r="E622" s="77">
        <f t="shared" si="60"/>
        <v>0</v>
      </c>
      <c r="F622" s="86">
        <v>0</v>
      </c>
      <c r="G622" s="77">
        <v>0</v>
      </c>
      <c r="H622" s="77">
        <v>0</v>
      </c>
      <c r="I622" s="77">
        <v>0</v>
      </c>
      <c r="J622" s="77">
        <v>0</v>
      </c>
      <c r="K622" s="80"/>
      <c r="L622" s="155"/>
      <c r="M622" s="143"/>
    </row>
    <row r="623" ht="24.95" customHeight="1" spans="1:13">
      <c r="A623" s="107"/>
      <c r="B623" s="213"/>
      <c r="C623" s="75"/>
      <c r="D623" s="80">
        <v>2023</v>
      </c>
      <c r="E623" s="77">
        <f t="shared" si="60"/>
        <v>0</v>
      </c>
      <c r="F623" s="86">
        <v>0</v>
      </c>
      <c r="G623" s="77">
        <v>0</v>
      </c>
      <c r="H623" s="77">
        <v>0</v>
      </c>
      <c r="I623" s="77">
        <v>0</v>
      </c>
      <c r="J623" s="77">
        <v>0</v>
      </c>
      <c r="K623" s="80"/>
      <c r="L623" s="155"/>
      <c r="M623" s="143"/>
    </row>
    <row r="624" ht="24.95" customHeight="1" spans="1:13">
      <c r="A624" s="107"/>
      <c r="B624" s="213"/>
      <c r="C624" s="75"/>
      <c r="D624" s="80">
        <v>2024</v>
      </c>
      <c r="E624" s="77">
        <f t="shared" si="60"/>
        <v>0</v>
      </c>
      <c r="F624" s="86">
        <v>0</v>
      </c>
      <c r="G624" s="77">
        <v>0</v>
      </c>
      <c r="H624" s="77">
        <v>0</v>
      </c>
      <c r="I624" s="77">
        <v>0</v>
      </c>
      <c r="J624" s="77">
        <v>0</v>
      </c>
      <c r="K624" s="80"/>
      <c r="L624" s="155"/>
      <c r="M624" s="143"/>
    </row>
    <row r="625" ht="24.95" customHeight="1" spans="1:13">
      <c r="A625" s="107"/>
      <c r="B625" s="213"/>
      <c r="C625" s="75"/>
      <c r="D625" s="80">
        <v>2025</v>
      </c>
      <c r="E625" s="77">
        <f t="shared" si="60"/>
        <v>0</v>
      </c>
      <c r="F625" s="86">
        <v>0</v>
      </c>
      <c r="G625" s="77">
        <v>0</v>
      </c>
      <c r="H625" s="77">
        <v>0</v>
      </c>
      <c r="I625" s="77">
        <v>0</v>
      </c>
      <c r="J625" s="77">
        <v>0</v>
      </c>
      <c r="K625" s="80"/>
      <c r="L625" s="155"/>
      <c r="M625" s="143"/>
    </row>
    <row r="626" ht="24.95" customHeight="1" spans="1:13">
      <c r="A626" s="107"/>
      <c r="B626" s="213"/>
      <c r="C626" s="75"/>
      <c r="D626" s="80">
        <v>2026</v>
      </c>
      <c r="E626" s="77">
        <f t="shared" ref="E626" si="66">F626+G626+H626+J626</f>
        <v>0</v>
      </c>
      <c r="F626" s="86">
        <v>0</v>
      </c>
      <c r="G626" s="77">
        <v>0</v>
      </c>
      <c r="H626" s="77">
        <v>0</v>
      </c>
      <c r="I626" s="77">
        <v>0</v>
      </c>
      <c r="J626" s="77">
        <v>0</v>
      </c>
      <c r="K626" s="80"/>
      <c r="L626" s="155"/>
      <c r="M626" s="143"/>
    </row>
    <row r="627" ht="24.95" customHeight="1" spans="1:13">
      <c r="A627" s="107"/>
      <c r="B627" s="213"/>
      <c r="C627" s="75"/>
      <c r="D627" s="80">
        <v>2027</v>
      </c>
      <c r="E627" s="77">
        <f t="shared" si="60"/>
        <v>0</v>
      </c>
      <c r="F627" s="86">
        <v>0</v>
      </c>
      <c r="G627" s="77">
        <v>0</v>
      </c>
      <c r="H627" s="77">
        <v>0</v>
      </c>
      <c r="I627" s="77">
        <v>0</v>
      </c>
      <c r="J627" s="77">
        <v>0</v>
      </c>
      <c r="K627" s="80"/>
      <c r="L627" s="155"/>
      <c r="M627" s="143"/>
    </row>
    <row r="628" ht="24.95" customHeight="1" spans="1:13">
      <c r="A628" s="107"/>
      <c r="B628" s="213"/>
      <c r="C628" s="75"/>
      <c r="D628" s="80">
        <v>2028</v>
      </c>
      <c r="E628" s="77">
        <f>F628+G628+H628+I628+J628</f>
        <v>0</v>
      </c>
      <c r="F628" s="86">
        <v>0</v>
      </c>
      <c r="G628" s="77">
        <v>0</v>
      </c>
      <c r="H628" s="77">
        <v>0</v>
      </c>
      <c r="I628" s="77">
        <v>0</v>
      </c>
      <c r="J628" s="77">
        <v>0</v>
      </c>
      <c r="K628" s="80"/>
      <c r="L628" s="155"/>
      <c r="M628" s="143"/>
    </row>
    <row r="629" ht="25.5" customHeight="1" spans="1:13">
      <c r="A629" s="107" t="s">
        <v>284</v>
      </c>
      <c r="B629" s="213" t="s">
        <v>285</v>
      </c>
      <c r="C629" s="75" t="e">
        <f>#REF!+#REF!+#REF!+#REF!+#REF!+#REF!+#REF!+#REF!</f>
        <v>#REF!</v>
      </c>
      <c r="D629" s="76">
        <v>2018</v>
      </c>
      <c r="E629" s="77">
        <f t="shared" si="60"/>
        <v>0</v>
      </c>
      <c r="F629" s="77">
        <v>0</v>
      </c>
      <c r="G629" s="77">
        <v>0</v>
      </c>
      <c r="H629" s="77">
        <v>0</v>
      </c>
      <c r="I629" s="77">
        <v>0</v>
      </c>
      <c r="J629" s="77">
        <v>0</v>
      </c>
      <c r="K629" s="80" t="s">
        <v>286</v>
      </c>
      <c r="L629" s="155" t="s">
        <v>280</v>
      </c>
      <c r="M629" s="143"/>
    </row>
    <row r="630" ht="25.5" customHeight="1" spans="1:13">
      <c r="A630" s="107"/>
      <c r="B630" s="213"/>
      <c r="C630" s="75"/>
      <c r="D630" s="76">
        <v>2019</v>
      </c>
      <c r="E630" s="77">
        <f t="shared" si="60"/>
        <v>19638.2</v>
      </c>
      <c r="F630" s="77">
        <v>0</v>
      </c>
      <c r="G630" s="77">
        <v>16951</v>
      </c>
      <c r="H630" s="77">
        <v>2687.2</v>
      </c>
      <c r="I630" s="77">
        <v>1883.5</v>
      </c>
      <c r="J630" s="77">
        <v>0</v>
      </c>
      <c r="K630" s="80"/>
      <c r="L630" s="155"/>
      <c r="M630" s="143"/>
    </row>
    <row r="631" ht="25.5" customHeight="1" spans="1:13">
      <c r="A631" s="107"/>
      <c r="B631" s="213"/>
      <c r="C631" s="75"/>
      <c r="D631" s="80">
        <v>2020</v>
      </c>
      <c r="E631" s="77">
        <f t="shared" si="60"/>
        <v>216.1</v>
      </c>
      <c r="F631" s="86">
        <v>0</v>
      </c>
      <c r="G631" s="77">
        <v>0</v>
      </c>
      <c r="H631" s="77">
        <v>216.1</v>
      </c>
      <c r="I631" s="77">
        <v>0</v>
      </c>
      <c r="J631" s="77">
        <v>0</v>
      </c>
      <c r="K631" s="80"/>
      <c r="L631" s="155"/>
      <c r="M631" s="143"/>
    </row>
    <row r="632" ht="25.5" customHeight="1" spans="1:13">
      <c r="A632" s="107"/>
      <c r="B632" s="213"/>
      <c r="C632" s="75"/>
      <c r="D632" s="80">
        <v>2021</v>
      </c>
      <c r="E632" s="77">
        <f t="shared" si="60"/>
        <v>0</v>
      </c>
      <c r="F632" s="86">
        <v>0</v>
      </c>
      <c r="G632" s="77">
        <v>0</v>
      </c>
      <c r="H632" s="77">
        <v>0</v>
      </c>
      <c r="I632" s="77">
        <v>0</v>
      </c>
      <c r="J632" s="77">
        <v>0</v>
      </c>
      <c r="K632" s="80"/>
      <c r="L632" s="155"/>
      <c r="M632" s="143"/>
    </row>
    <row r="633" ht="25.5" customHeight="1" spans="1:13">
      <c r="A633" s="107"/>
      <c r="B633" s="213"/>
      <c r="C633" s="75"/>
      <c r="D633" s="80">
        <v>2022</v>
      </c>
      <c r="E633" s="77">
        <f t="shared" si="60"/>
        <v>0</v>
      </c>
      <c r="F633" s="86">
        <v>0</v>
      </c>
      <c r="G633" s="77">
        <v>0</v>
      </c>
      <c r="H633" s="77">
        <v>0</v>
      </c>
      <c r="I633" s="77">
        <v>0</v>
      </c>
      <c r="J633" s="77">
        <v>0</v>
      </c>
      <c r="K633" s="80"/>
      <c r="L633" s="155"/>
      <c r="M633" s="143"/>
    </row>
    <row r="634" ht="25.5" customHeight="1" spans="1:13">
      <c r="A634" s="107"/>
      <c r="B634" s="213"/>
      <c r="C634" s="75"/>
      <c r="D634" s="80">
        <v>2023</v>
      </c>
      <c r="E634" s="77">
        <f t="shared" si="60"/>
        <v>0</v>
      </c>
      <c r="F634" s="86">
        <v>0</v>
      </c>
      <c r="G634" s="77">
        <v>0</v>
      </c>
      <c r="H634" s="77">
        <v>0</v>
      </c>
      <c r="I634" s="77">
        <v>0</v>
      </c>
      <c r="J634" s="77">
        <v>0</v>
      </c>
      <c r="K634" s="80"/>
      <c r="L634" s="155"/>
      <c r="M634" s="143"/>
    </row>
    <row r="635" ht="25.5" customHeight="1" spans="1:13">
      <c r="A635" s="107"/>
      <c r="B635" s="213"/>
      <c r="C635" s="75"/>
      <c r="D635" s="80">
        <v>2024</v>
      </c>
      <c r="E635" s="77">
        <f t="shared" si="60"/>
        <v>0</v>
      </c>
      <c r="F635" s="86">
        <v>0</v>
      </c>
      <c r="G635" s="77">
        <v>0</v>
      </c>
      <c r="H635" s="77">
        <v>0</v>
      </c>
      <c r="I635" s="77">
        <v>0</v>
      </c>
      <c r="J635" s="77">
        <v>0</v>
      </c>
      <c r="K635" s="80"/>
      <c r="L635" s="155"/>
      <c r="M635" s="143"/>
    </row>
    <row r="636" ht="25.5" customHeight="1" spans="1:13">
      <c r="A636" s="107"/>
      <c r="B636" s="213"/>
      <c r="C636" s="75"/>
      <c r="D636" s="80">
        <v>2025</v>
      </c>
      <c r="E636" s="77">
        <f t="shared" si="60"/>
        <v>0</v>
      </c>
      <c r="F636" s="86">
        <v>0</v>
      </c>
      <c r="G636" s="77">
        <v>0</v>
      </c>
      <c r="H636" s="77">
        <v>0</v>
      </c>
      <c r="I636" s="77">
        <v>0</v>
      </c>
      <c r="J636" s="77">
        <v>0</v>
      </c>
      <c r="K636" s="80"/>
      <c r="L636" s="155"/>
      <c r="M636" s="143"/>
    </row>
    <row r="637" ht="25.5" customHeight="1" spans="1:13">
      <c r="A637" s="107"/>
      <c r="B637" s="213"/>
      <c r="C637" s="75"/>
      <c r="D637" s="80">
        <v>2026</v>
      </c>
      <c r="E637" s="77">
        <f t="shared" ref="E637" si="67">F637+G637+H637+J637</f>
        <v>0</v>
      </c>
      <c r="F637" s="86">
        <v>0</v>
      </c>
      <c r="G637" s="77">
        <v>0</v>
      </c>
      <c r="H637" s="77">
        <v>0</v>
      </c>
      <c r="I637" s="77">
        <v>0</v>
      </c>
      <c r="J637" s="77">
        <v>0</v>
      </c>
      <c r="K637" s="80"/>
      <c r="L637" s="155"/>
      <c r="M637" s="143"/>
    </row>
    <row r="638" ht="25.5" customHeight="1" spans="1:13">
      <c r="A638" s="107"/>
      <c r="B638" s="213"/>
      <c r="C638" s="75"/>
      <c r="D638" s="80">
        <v>2027</v>
      </c>
      <c r="E638" s="77">
        <f t="shared" si="60"/>
        <v>0</v>
      </c>
      <c r="F638" s="81">
        <v>0</v>
      </c>
      <c r="G638" s="77">
        <v>0</v>
      </c>
      <c r="H638" s="77">
        <v>0</v>
      </c>
      <c r="I638" s="77">
        <v>0</v>
      </c>
      <c r="J638" s="77">
        <v>0</v>
      </c>
      <c r="K638" s="80"/>
      <c r="L638" s="155"/>
      <c r="M638" s="143"/>
    </row>
    <row r="639" s="23" customFormat="1" ht="25.5" customHeight="1" spans="1:13">
      <c r="A639" s="107"/>
      <c r="B639" s="213"/>
      <c r="C639" s="75"/>
      <c r="D639" s="80">
        <v>2028</v>
      </c>
      <c r="E639" s="77">
        <f>F639+G639+H639+I639+J639</f>
        <v>0</v>
      </c>
      <c r="F639" s="81">
        <v>0</v>
      </c>
      <c r="G639" s="77">
        <v>0</v>
      </c>
      <c r="H639" s="77">
        <v>0</v>
      </c>
      <c r="I639" s="77">
        <v>0</v>
      </c>
      <c r="J639" s="77">
        <v>0</v>
      </c>
      <c r="K639" s="80"/>
      <c r="L639" s="155"/>
      <c r="M639" s="194"/>
    </row>
    <row r="640" ht="45" customHeight="1" spans="1:13">
      <c r="A640" s="107" t="s">
        <v>287</v>
      </c>
      <c r="B640" s="214" t="s">
        <v>288</v>
      </c>
      <c r="C640" s="75" t="e">
        <f>#REF!+#REF!+#REF!+#REF!+#REF!+#REF!+#REF!+#REF!</f>
        <v>#REF!</v>
      </c>
      <c r="D640" s="181">
        <v>2018</v>
      </c>
      <c r="E640" s="88">
        <f t="shared" si="60"/>
        <v>0</v>
      </c>
      <c r="F640" s="88">
        <v>0</v>
      </c>
      <c r="G640" s="88">
        <v>0</v>
      </c>
      <c r="H640" s="88">
        <v>0</v>
      </c>
      <c r="I640" s="88">
        <v>0</v>
      </c>
      <c r="J640" s="88">
        <v>0</v>
      </c>
      <c r="K640" s="80" t="s">
        <v>289</v>
      </c>
      <c r="L640" s="155" t="s">
        <v>280</v>
      </c>
      <c r="M640" s="143"/>
    </row>
    <row r="641" ht="45" customHeight="1" spans="1:13">
      <c r="A641" s="107"/>
      <c r="B641" s="214"/>
      <c r="C641" s="75"/>
      <c r="D641" s="76">
        <v>2019</v>
      </c>
      <c r="E641" s="77">
        <f t="shared" si="60"/>
        <v>0</v>
      </c>
      <c r="F641" s="77">
        <v>0</v>
      </c>
      <c r="G641" s="77">
        <v>0</v>
      </c>
      <c r="H641" s="77">
        <v>0</v>
      </c>
      <c r="I641" s="77">
        <v>0</v>
      </c>
      <c r="J641" s="77">
        <v>0</v>
      </c>
      <c r="K641" s="80"/>
      <c r="L641" s="155"/>
      <c r="M641" s="143"/>
    </row>
    <row r="642" ht="45" customHeight="1" spans="1:13">
      <c r="A642" s="107"/>
      <c r="B642" s="214"/>
      <c r="C642" s="75"/>
      <c r="D642" s="75">
        <v>2020</v>
      </c>
      <c r="E642" s="77">
        <f t="shared" si="60"/>
        <v>19536.2</v>
      </c>
      <c r="F642" s="86">
        <v>0</v>
      </c>
      <c r="G642" s="77">
        <v>16347.5</v>
      </c>
      <c r="H642" s="77">
        <v>3188.7</v>
      </c>
      <c r="I642" s="77">
        <v>1877.2</v>
      </c>
      <c r="J642" s="77">
        <v>0</v>
      </c>
      <c r="K642" s="80"/>
      <c r="L642" s="155"/>
      <c r="M642" s="143"/>
    </row>
    <row r="643" ht="45" customHeight="1" spans="1:13">
      <c r="A643" s="107"/>
      <c r="B643" s="214"/>
      <c r="C643" s="75"/>
      <c r="D643" s="75">
        <v>2021</v>
      </c>
      <c r="E643" s="77">
        <f t="shared" si="60"/>
        <v>30612.9</v>
      </c>
      <c r="F643" s="86">
        <v>0</v>
      </c>
      <c r="G643" s="77">
        <v>26865.1</v>
      </c>
      <c r="H643" s="77">
        <v>3747.8</v>
      </c>
      <c r="I643" s="77">
        <v>2986.1</v>
      </c>
      <c r="J643" s="77">
        <v>0</v>
      </c>
      <c r="K643" s="80"/>
      <c r="L643" s="155"/>
      <c r="M643" s="143"/>
    </row>
    <row r="644" ht="45" customHeight="1" spans="1:13">
      <c r="A644" s="107"/>
      <c r="B644" s="214"/>
      <c r="C644" s="75"/>
      <c r="D644" s="75">
        <v>2022</v>
      </c>
      <c r="E644" s="77">
        <f t="shared" si="60"/>
        <v>0</v>
      </c>
      <c r="F644" s="86">
        <v>0</v>
      </c>
      <c r="G644" s="77">
        <v>0</v>
      </c>
      <c r="H644" s="77">
        <v>0</v>
      </c>
      <c r="I644" s="77">
        <v>0</v>
      </c>
      <c r="J644" s="77">
        <v>0</v>
      </c>
      <c r="K644" s="80"/>
      <c r="L644" s="155"/>
      <c r="M644" s="143"/>
    </row>
    <row r="645" ht="60" customHeight="1" spans="1:13">
      <c r="A645" s="107"/>
      <c r="B645" s="214"/>
      <c r="C645" s="75"/>
      <c r="D645" s="75">
        <v>2023</v>
      </c>
      <c r="E645" s="77">
        <f>F645+G645+H645+J645</f>
        <v>2829.5</v>
      </c>
      <c r="F645" s="81">
        <v>0</v>
      </c>
      <c r="G645" s="77">
        <f>2674.4-127.9</f>
        <v>2546.5</v>
      </c>
      <c r="H645" s="77">
        <f>297.2-14.2</f>
        <v>283</v>
      </c>
      <c r="I645" s="77">
        <f>297.2-14.2</f>
        <v>283</v>
      </c>
      <c r="J645" s="77">
        <v>0</v>
      </c>
      <c r="K645" s="80"/>
      <c r="L645" s="155"/>
      <c r="M645" s="143"/>
    </row>
    <row r="646" ht="174" customHeight="1" spans="1:13">
      <c r="A646" s="107"/>
      <c r="B646" s="214" t="s">
        <v>290</v>
      </c>
      <c r="C646" s="75"/>
      <c r="D646" s="75">
        <v>2024</v>
      </c>
      <c r="E646" s="77">
        <f>F646+G646+H646+J646</f>
        <v>13560.8</v>
      </c>
      <c r="F646" s="81">
        <v>0</v>
      </c>
      <c r="G646" s="87">
        <f>11526.6+3454.1+2007.2-5461.3</f>
        <v>11526.6</v>
      </c>
      <c r="H646" s="87">
        <f>2034.2</f>
        <v>2034.2</v>
      </c>
      <c r="I646" s="87">
        <f>2034.2+354.3-354.3</f>
        <v>2034.2</v>
      </c>
      <c r="J646" s="77">
        <v>0</v>
      </c>
      <c r="K646" s="80"/>
      <c r="L646" s="155"/>
      <c r="M646" s="143"/>
    </row>
    <row r="647" ht="71.25" customHeight="1" spans="1:13">
      <c r="A647" s="107"/>
      <c r="B647" s="214" t="s">
        <v>291</v>
      </c>
      <c r="C647" s="75"/>
      <c r="D647" s="209">
        <v>2025</v>
      </c>
      <c r="E647" s="77">
        <f t="shared" si="60"/>
        <v>0</v>
      </c>
      <c r="F647" s="81">
        <v>0</v>
      </c>
      <c r="G647" s="87">
        <v>0</v>
      </c>
      <c r="H647" s="87">
        <f>32000-27200-4800</f>
        <v>0</v>
      </c>
      <c r="I647" s="87">
        <v>0</v>
      </c>
      <c r="J647" s="77">
        <v>0</v>
      </c>
      <c r="K647" s="80"/>
      <c r="L647" s="155"/>
      <c r="M647" s="143"/>
    </row>
    <row r="648" ht="66.75" customHeight="1" spans="1:13">
      <c r="A648" s="107"/>
      <c r="B648" s="214"/>
      <c r="C648" s="75"/>
      <c r="D648" s="75">
        <v>2026</v>
      </c>
      <c r="E648" s="77">
        <f t="shared" ref="E648" si="68">F648+G648+H648+J648</f>
        <v>4942.2</v>
      </c>
      <c r="F648" s="81">
        <v>0</v>
      </c>
      <c r="G648" s="87">
        <v>0</v>
      </c>
      <c r="H648" s="87">
        <v>4942.2</v>
      </c>
      <c r="I648" s="87">
        <v>4942.2</v>
      </c>
      <c r="J648" s="77">
        <v>0</v>
      </c>
      <c r="K648" s="80"/>
      <c r="L648" s="155"/>
      <c r="M648" s="143"/>
    </row>
    <row r="649" ht="69" customHeight="1" spans="1:13">
      <c r="A649" s="107"/>
      <c r="B649" s="214"/>
      <c r="C649" s="75"/>
      <c r="D649" s="75">
        <v>2027</v>
      </c>
      <c r="E649" s="77">
        <f t="shared" si="60"/>
        <v>7413.3</v>
      </c>
      <c r="F649" s="81">
        <v>0</v>
      </c>
      <c r="G649" s="87">
        <v>0</v>
      </c>
      <c r="H649" s="87">
        <v>7413.3</v>
      </c>
      <c r="I649" s="87">
        <v>7413.3</v>
      </c>
      <c r="J649" s="77">
        <v>0</v>
      </c>
      <c r="K649" s="80"/>
      <c r="L649" s="155"/>
      <c r="M649" s="143"/>
    </row>
    <row r="650" ht="80" customHeight="1" spans="1:13">
      <c r="A650" s="107"/>
      <c r="B650" s="214"/>
      <c r="C650" s="75"/>
      <c r="D650" s="75">
        <v>2028</v>
      </c>
      <c r="E650" s="77">
        <f>G650+H650</f>
        <v>0</v>
      </c>
      <c r="F650" s="81">
        <v>0</v>
      </c>
      <c r="G650" s="87">
        <v>0</v>
      </c>
      <c r="H650" s="87">
        <v>0</v>
      </c>
      <c r="I650" s="87">
        <f>H650</f>
        <v>0</v>
      </c>
      <c r="J650" s="77">
        <v>0</v>
      </c>
      <c r="K650" s="80"/>
      <c r="L650" s="155"/>
      <c r="M650" s="143"/>
    </row>
    <row r="651" ht="23.1" customHeight="1" spans="1:13">
      <c r="A651" s="107" t="s">
        <v>292</v>
      </c>
      <c r="B651" s="214" t="s">
        <v>293</v>
      </c>
      <c r="C651" s="75" t="e">
        <f>#REF!+#REF!+#REF!+#REF!+#REF!+#REF!+#REF!+#REF!</f>
        <v>#REF!</v>
      </c>
      <c r="D651" s="76">
        <v>2018</v>
      </c>
      <c r="E651" s="77">
        <f t="shared" si="60"/>
        <v>0</v>
      </c>
      <c r="F651" s="77">
        <v>0</v>
      </c>
      <c r="G651" s="77">
        <v>0</v>
      </c>
      <c r="H651" s="77">
        <v>0</v>
      </c>
      <c r="I651" s="77">
        <v>0</v>
      </c>
      <c r="J651" s="77">
        <v>0</v>
      </c>
      <c r="K651" s="80" t="s">
        <v>294</v>
      </c>
      <c r="L651" s="155" t="s">
        <v>280</v>
      </c>
      <c r="M651" s="143"/>
    </row>
    <row r="652" ht="23.1" customHeight="1" spans="1:13">
      <c r="A652" s="107"/>
      <c r="B652" s="214"/>
      <c r="C652" s="75"/>
      <c r="D652" s="76">
        <v>2019</v>
      </c>
      <c r="E652" s="77">
        <f t="shared" ref="E652:E739" si="69">F652+G652+H652+J652</f>
        <v>3371</v>
      </c>
      <c r="F652" s="77">
        <v>0</v>
      </c>
      <c r="G652" s="77">
        <v>3202.4</v>
      </c>
      <c r="H652" s="77">
        <v>168.6</v>
      </c>
      <c r="I652" s="77">
        <v>168.6</v>
      </c>
      <c r="J652" s="77">
        <v>0</v>
      </c>
      <c r="K652" s="80"/>
      <c r="L652" s="155"/>
      <c r="M652" s="143"/>
    </row>
    <row r="653" ht="23.1" customHeight="1" spans="1:13">
      <c r="A653" s="107"/>
      <c r="B653" s="214"/>
      <c r="C653" s="75"/>
      <c r="D653" s="80">
        <v>2020</v>
      </c>
      <c r="E653" s="77">
        <f t="shared" si="69"/>
        <v>0</v>
      </c>
      <c r="F653" s="86">
        <v>0</v>
      </c>
      <c r="G653" s="77">
        <v>0</v>
      </c>
      <c r="H653" s="77">
        <v>0</v>
      </c>
      <c r="I653" s="77">
        <v>0</v>
      </c>
      <c r="J653" s="77">
        <v>0</v>
      </c>
      <c r="K653" s="80"/>
      <c r="L653" s="155"/>
      <c r="M653" s="143"/>
    </row>
    <row r="654" ht="23.1" customHeight="1" spans="1:13">
      <c r="A654" s="107"/>
      <c r="B654" s="214"/>
      <c r="C654" s="75"/>
      <c r="D654" s="80">
        <v>2021</v>
      </c>
      <c r="E654" s="77">
        <f t="shared" si="69"/>
        <v>0</v>
      </c>
      <c r="F654" s="86">
        <v>0</v>
      </c>
      <c r="G654" s="77">
        <v>0</v>
      </c>
      <c r="H654" s="77">
        <v>0</v>
      </c>
      <c r="I654" s="77">
        <v>0</v>
      </c>
      <c r="J654" s="77">
        <v>0</v>
      </c>
      <c r="K654" s="80"/>
      <c r="L654" s="155"/>
      <c r="M654" s="143"/>
    </row>
    <row r="655" ht="23.1" customHeight="1" spans="1:13">
      <c r="A655" s="107"/>
      <c r="B655" s="214"/>
      <c r="C655" s="75"/>
      <c r="D655" s="80">
        <v>2022</v>
      </c>
      <c r="E655" s="77">
        <f t="shared" si="69"/>
        <v>0</v>
      </c>
      <c r="F655" s="86">
        <v>0</v>
      </c>
      <c r="G655" s="77">
        <v>0</v>
      </c>
      <c r="H655" s="77">
        <v>0</v>
      </c>
      <c r="I655" s="77">
        <v>0</v>
      </c>
      <c r="J655" s="77">
        <v>0</v>
      </c>
      <c r="K655" s="80"/>
      <c r="L655" s="155"/>
      <c r="M655" s="143"/>
    </row>
    <row r="656" ht="23.1" customHeight="1" spans="1:13">
      <c r="A656" s="107"/>
      <c r="B656" s="214"/>
      <c r="C656" s="75"/>
      <c r="D656" s="80">
        <v>2023</v>
      </c>
      <c r="E656" s="77">
        <f t="shared" si="69"/>
        <v>0</v>
      </c>
      <c r="F656" s="81">
        <v>0</v>
      </c>
      <c r="G656" s="77">
        <v>0</v>
      </c>
      <c r="H656" s="77">
        <v>0</v>
      </c>
      <c r="I656" s="77">
        <v>0</v>
      </c>
      <c r="J656" s="77">
        <v>0</v>
      </c>
      <c r="K656" s="80"/>
      <c r="L656" s="155"/>
      <c r="M656" s="143"/>
    </row>
    <row r="657" ht="23.1" customHeight="1" spans="1:13">
      <c r="A657" s="107"/>
      <c r="B657" s="214"/>
      <c r="C657" s="75"/>
      <c r="D657" s="80">
        <v>2024</v>
      </c>
      <c r="E657" s="77">
        <f t="shared" si="69"/>
        <v>0</v>
      </c>
      <c r="F657" s="81">
        <v>0</v>
      </c>
      <c r="G657" s="77">
        <v>0</v>
      </c>
      <c r="H657" s="77">
        <v>0</v>
      </c>
      <c r="I657" s="77">
        <v>0</v>
      </c>
      <c r="J657" s="77">
        <v>0</v>
      </c>
      <c r="K657" s="80"/>
      <c r="L657" s="155"/>
      <c r="M657" s="143"/>
    </row>
    <row r="658" ht="23.1" customHeight="1" spans="1:13">
      <c r="A658" s="107"/>
      <c r="B658" s="214"/>
      <c r="C658" s="75"/>
      <c r="D658" s="80">
        <v>2025</v>
      </c>
      <c r="E658" s="77">
        <f t="shared" si="69"/>
        <v>0</v>
      </c>
      <c r="F658" s="81">
        <v>0</v>
      </c>
      <c r="G658" s="77">
        <v>0</v>
      </c>
      <c r="H658" s="77">
        <v>0</v>
      </c>
      <c r="I658" s="77">
        <v>0</v>
      </c>
      <c r="J658" s="77">
        <v>0</v>
      </c>
      <c r="K658" s="80"/>
      <c r="L658" s="155"/>
      <c r="M658" s="143"/>
    </row>
    <row r="659" ht="23.1" customHeight="1" spans="1:13">
      <c r="A659" s="107"/>
      <c r="B659" s="214"/>
      <c r="C659" s="75"/>
      <c r="D659" s="80">
        <v>2026</v>
      </c>
      <c r="E659" s="77">
        <f t="shared" ref="E659" si="70">F659+G659+H659+J659</f>
        <v>0</v>
      </c>
      <c r="F659" s="81">
        <v>0</v>
      </c>
      <c r="G659" s="77">
        <v>0</v>
      </c>
      <c r="H659" s="77">
        <v>0</v>
      </c>
      <c r="I659" s="77">
        <v>0</v>
      </c>
      <c r="J659" s="77">
        <v>0</v>
      </c>
      <c r="K659" s="80"/>
      <c r="L659" s="155"/>
      <c r="M659" s="143"/>
    </row>
    <row r="660" ht="23.1" customHeight="1" spans="1:13">
      <c r="A660" s="107"/>
      <c r="B660" s="214"/>
      <c r="C660" s="75"/>
      <c r="D660" s="80">
        <v>2027</v>
      </c>
      <c r="E660" s="77">
        <f t="shared" si="69"/>
        <v>0</v>
      </c>
      <c r="F660" s="81">
        <v>0</v>
      </c>
      <c r="G660" s="77">
        <v>0</v>
      </c>
      <c r="H660" s="77">
        <v>0</v>
      </c>
      <c r="I660" s="77">
        <v>0</v>
      </c>
      <c r="J660" s="77">
        <v>0</v>
      </c>
      <c r="K660" s="80"/>
      <c r="L660" s="155"/>
      <c r="M660" s="143"/>
    </row>
    <row r="661" s="23" customFormat="1" ht="74" customHeight="1" spans="1:13">
      <c r="A661" s="107"/>
      <c r="B661" s="214"/>
      <c r="C661" s="75"/>
      <c r="D661" s="80">
        <v>2028</v>
      </c>
      <c r="E661" s="77">
        <f>F661+G661+H661+I661+J661</f>
        <v>0</v>
      </c>
      <c r="F661" s="81">
        <v>0</v>
      </c>
      <c r="G661" s="77">
        <v>0</v>
      </c>
      <c r="H661" s="77">
        <v>0</v>
      </c>
      <c r="I661" s="77">
        <v>0</v>
      </c>
      <c r="J661" s="77">
        <v>0</v>
      </c>
      <c r="K661" s="80"/>
      <c r="L661" s="155"/>
      <c r="M661" s="194"/>
    </row>
    <row r="662" ht="23.1" customHeight="1" spans="1:13">
      <c r="A662" s="107" t="s">
        <v>295</v>
      </c>
      <c r="B662" s="214" t="s">
        <v>296</v>
      </c>
      <c r="C662" s="75" t="e">
        <f>#REF!+#REF!+#REF!+#REF!+#REF!+#REF!+#REF!+#REF!</f>
        <v>#REF!</v>
      </c>
      <c r="D662" s="181">
        <v>2018</v>
      </c>
      <c r="E662" s="88">
        <f t="shared" si="69"/>
        <v>0</v>
      </c>
      <c r="F662" s="88">
        <v>0</v>
      </c>
      <c r="G662" s="88">
        <v>0</v>
      </c>
      <c r="H662" s="88">
        <v>0</v>
      </c>
      <c r="I662" s="88">
        <v>0</v>
      </c>
      <c r="J662" s="88">
        <v>0</v>
      </c>
      <c r="K662" s="80" t="s">
        <v>297</v>
      </c>
      <c r="L662" s="155" t="s">
        <v>211</v>
      </c>
      <c r="M662" s="143"/>
    </row>
    <row r="663" ht="23.1" customHeight="1" spans="1:13">
      <c r="A663" s="107"/>
      <c r="B663" s="214"/>
      <c r="C663" s="75"/>
      <c r="D663" s="76">
        <v>2019</v>
      </c>
      <c r="E663" s="77">
        <f t="shared" si="69"/>
        <v>0</v>
      </c>
      <c r="F663" s="77">
        <v>0</v>
      </c>
      <c r="G663" s="77">
        <v>0</v>
      </c>
      <c r="H663" s="77">
        <v>0</v>
      </c>
      <c r="I663" s="77">
        <v>0</v>
      </c>
      <c r="J663" s="77">
        <v>0</v>
      </c>
      <c r="K663" s="80"/>
      <c r="L663" s="155"/>
      <c r="M663" s="143"/>
    </row>
    <row r="664" ht="23.1" customHeight="1" spans="1:13">
      <c r="A664" s="107"/>
      <c r="B664" s="214"/>
      <c r="C664" s="75"/>
      <c r="D664" s="80">
        <v>2020</v>
      </c>
      <c r="E664" s="77">
        <f t="shared" si="69"/>
        <v>1175.9</v>
      </c>
      <c r="F664" s="86">
        <v>0</v>
      </c>
      <c r="G664" s="77">
        <v>1117.1</v>
      </c>
      <c r="H664" s="77">
        <v>58.8</v>
      </c>
      <c r="I664" s="77">
        <v>58.8</v>
      </c>
      <c r="J664" s="77">
        <v>0</v>
      </c>
      <c r="K664" s="80"/>
      <c r="L664" s="155"/>
      <c r="M664" s="143"/>
    </row>
    <row r="665" ht="23.1" customHeight="1" spans="1:13">
      <c r="A665" s="107"/>
      <c r="B665" s="214"/>
      <c r="C665" s="75"/>
      <c r="D665" s="80">
        <v>2021</v>
      </c>
      <c r="E665" s="77">
        <f t="shared" si="69"/>
        <v>0</v>
      </c>
      <c r="F665" s="86">
        <v>0</v>
      </c>
      <c r="G665" s="77">
        <v>0</v>
      </c>
      <c r="H665" s="77">
        <v>0</v>
      </c>
      <c r="I665" s="77">
        <v>0</v>
      </c>
      <c r="J665" s="77">
        <v>0</v>
      </c>
      <c r="K665" s="80"/>
      <c r="L665" s="155"/>
      <c r="M665" s="143"/>
    </row>
    <row r="666" ht="23.1" customHeight="1" spans="1:13">
      <c r="A666" s="107"/>
      <c r="B666" s="214"/>
      <c r="C666" s="75"/>
      <c r="D666" s="80">
        <v>2022</v>
      </c>
      <c r="E666" s="77">
        <f t="shared" si="69"/>
        <v>0</v>
      </c>
      <c r="F666" s="86">
        <v>0</v>
      </c>
      <c r="G666" s="77">
        <v>0</v>
      </c>
      <c r="H666" s="77">
        <v>0</v>
      </c>
      <c r="I666" s="77">
        <v>0</v>
      </c>
      <c r="J666" s="77">
        <v>0</v>
      </c>
      <c r="K666" s="80"/>
      <c r="L666" s="155"/>
      <c r="M666" s="143"/>
    </row>
    <row r="667" ht="23.1" customHeight="1" spans="1:13">
      <c r="A667" s="107"/>
      <c r="B667" s="214"/>
      <c r="C667" s="75"/>
      <c r="D667" s="80">
        <v>2023</v>
      </c>
      <c r="E667" s="77">
        <f t="shared" si="69"/>
        <v>0</v>
      </c>
      <c r="F667" s="86">
        <v>0</v>
      </c>
      <c r="G667" s="77">
        <v>0</v>
      </c>
      <c r="H667" s="77">
        <v>0</v>
      </c>
      <c r="I667" s="77">
        <v>0</v>
      </c>
      <c r="J667" s="77">
        <v>0</v>
      </c>
      <c r="K667" s="80"/>
      <c r="L667" s="155"/>
      <c r="M667" s="143"/>
    </row>
    <row r="668" ht="23.1" customHeight="1" spans="1:13">
      <c r="A668" s="107"/>
      <c r="B668" s="214"/>
      <c r="C668" s="75"/>
      <c r="D668" s="80">
        <v>2024</v>
      </c>
      <c r="E668" s="77">
        <f t="shared" si="69"/>
        <v>0</v>
      </c>
      <c r="F668" s="86">
        <v>0</v>
      </c>
      <c r="G668" s="77">
        <v>0</v>
      </c>
      <c r="H668" s="77">
        <v>0</v>
      </c>
      <c r="I668" s="77">
        <v>0</v>
      </c>
      <c r="J668" s="77">
        <v>0</v>
      </c>
      <c r="K668" s="80"/>
      <c r="L668" s="155"/>
      <c r="M668" s="143"/>
    </row>
    <row r="669" ht="23.1" customHeight="1" spans="1:13">
      <c r="A669" s="107"/>
      <c r="B669" s="214"/>
      <c r="C669" s="75"/>
      <c r="D669" s="80">
        <v>2025</v>
      </c>
      <c r="E669" s="77">
        <f t="shared" si="69"/>
        <v>0</v>
      </c>
      <c r="F669" s="86">
        <v>0</v>
      </c>
      <c r="G669" s="77">
        <v>0</v>
      </c>
      <c r="H669" s="77">
        <v>0</v>
      </c>
      <c r="I669" s="77">
        <v>0</v>
      </c>
      <c r="J669" s="77">
        <v>0</v>
      </c>
      <c r="K669" s="80"/>
      <c r="L669" s="155"/>
      <c r="M669" s="143"/>
    </row>
    <row r="670" ht="23.1" customHeight="1" spans="1:13">
      <c r="A670" s="107"/>
      <c r="B670" s="214"/>
      <c r="C670" s="75"/>
      <c r="D670" s="80">
        <v>2026</v>
      </c>
      <c r="E670" s="77">
        <f t="shared" ref="E670" si="71">F670+G670+H670+J670</f>
        <v>0</v>
      </c>
      <c r="F670" s="86">
        <v>0</v>
      </c>
      <c r="G670" s="77">
        <v>0</v>
      </c>
      <c r="H670" s="77">
        <v>0</v>
      </c>
      <c r="I670" s="77">
        <v>0</v>
      </c>
      <c r="J670" s="77">
        <v>0</v>
      </c>
      <c r="K670" s="80"/>
      <c r="L670" s="155"/>
      <c r="M670" s="143"/>
    </row>
    <row r="671" ht="23.1" customHeight="1" spans="1:13">
      <c r="A671" s="107"/>
      <c r="B671" s="214"/>
      <c r="C671" s="75"/>
      <c r="D671" s="80">
        <v>2027</v>
      </c>
      <c r="E671" s="77">
        <f t="shared" si="69"/>
        <v>0</v>
      </c>
      <c r="F671" s="86">
        <v>0</v>
      </c>
      <c r="G671" s="77">
        <v>0</v>
      </c>
      <c r="H671" s="77">
        <v>0</v>
      </c>
      <c r="I671" s="77">
        <v>0</v>
      </c>
      <c r="J671" s="77">
        <v>0</v>
      </c>
      <c r="K671" s="80"/>
      <c r="L671" s="155"/>
      <c r="M671" s="143"/>
    </row>
    <row r="672" ht="51" customHeight="1" spans="1:13">
      <c r="A672" s="107"/>
      <c r="B672" s="214"/>
      <c r="C672" s="75"/>
      <c r="D672" s="80">
        <v>2028</v>
      </c>
      <c r="E672" s="77">
        <f>F672+G672+H672+I672+J672</f>
        <v>0</v>
      </c>
      <c r="F672" s="86">
        <v>0</v>
      </c>
      <c r="G672" s="77">
        <v>0</v>
      </c>
      <c r="H672" s="77">
        <v>0</v>
      </c>
      <c r="I672" s="77">
        <v>0</v>
      </c>
      <c r="J672" s="77">
        <v>0</v>
      </c>
      <c r="K672" s="80"/>
      <c r="L672" s="155"/>
      <c r="M672" s="143"/>
    </row>
    <row r="673" customHeight="1" spans="1:13">
      <c r="A673" s="107" t="s">
        <v>298</v>
      </c>
      <c r="B673" s="213" t="s">
        <v>299</v>
      </c>
      <c r="C673" s="75" t="e">
        <f>#REF!+#REF!+#REF!+#REF!+#REF!+#REF!+#REF!+#REF!</f>
        <v>#REF!</v>
      </c>
      <c r="D673" s="76">
        <v>2018</v>
      </c>
      <c r="E673" s="77">
        <f t="shared" si="69"/>
        <v>0</v>
      </c>
      <c r="F673" s="77">
        <v>0</v>
      </c>
      <c r="G673" s="77">
        <v>0</v>
      </c>
      <c r="H673" s="77">
        <v>0</v>
      </c>
      <c r="I673" s="77">
        <v>0</v>
      </c>
      <c r="J673" s="77">
        <v>0</v>
      </c>
      <c r="K673" s="80" t="s">
        <v>300</v>
      </c>
      <c r="L673" s="155" t="s">
        <v>35</v>
      </c>
      <c r="M673" s="143"/>
    </row>
    <row r="674" customHeight="1" spans="1:13">
      <c r="A674" s="107"/>
      <c r="B674" s="213"/>
      <c r="C674" s="75"/>
      <c r="D674" s="76">
        <v>2019</v>
      </c>
      <c r="E674" s="77">
        <f t="shared" si="69"/>
        <v>216.8</v>
      </c>
      <c r="F674" s="77">
        <v>0</v>
      </c>
      <c r="G674" s="77">
        <v>0</v>
      </c>
      <c r="H674" s="77">
        <v>216.8</v>
      </c>
      <c r="I674" s="77">
        <v>0</v>
      </c>
      <c r="J674" s="77">
        <v>0</v>
      </c>
      <c r="K674" s="80"/>
      <c r="L674" s="155"/>
      <c r="M674" s="143"/>
    </row>
    <row r="675" customHeight="1" spans="1:13">
      <c r="A675" s="107"/>
      <c r="B675" s="213"/>
      <c r="C675" s="75"/>
      <c r="D675" s="80">
        <v>2020</v>
      </c>
      <c r="E675" s="77">
        <f t="shared" si="69"/>
        <v>0</v>
      </c>
      <c r="F675" s="86">
        <v>0</v>
      </c>
      <c r="G675" s="77">
        <v>0</v>
      </c>
      <c r="H675" s="77">
        <v>0</v>
      </c>
      <c r="I675" s="77">
        <v>0</v>
      </c>
      <c r="J675" s="77">
        <v>0</v>
      </c>
      <c r="K675" s="80"/>
      <c r="L675" s="155"/>
      <c r="M675" s="143"/>
    </row>
    <row r="676" customHeight="1" spans="1:13">
      <c r="A676" s="107"/>
      <c r="B676" s="213"/>
      <c r="C676" s="75"/>
      <c r="D676" s="80">
        <v>2021</v>
      </c>
      <c r="E676" s="77">
        <f t="shared" si="69"/>
        <v>0</v>
      </c>
      <c r="F676" s="86">
        <v>0</v>
      </c>
      <c r="G676" s="77">
        <v>0</v>
      </c>
      <c r="H676" s="77">
        <v>0</v>
      </c>
      <c r="I676" s="77">
        <v>0</v>
      </c>
      <c r="J676" s="77">
        <v>0</v>
      </c>
      <c r="K676" s="80"/>
      <c r="L676" s="155"/>
      <c r="M676" s="143"/>
    </row>
    <row r="677" customHeight="1" spans="1:13">
      <c r="A677" s="107"/>
      <c r="B677" s="213"/>
      <c r="C677" s="75"/>
      <c r="D677" s="80">
        <v>2022</v>
      </c>
      <c r="E677" s="77">
        <f t="shared" si="69"/>
        <v>0</v>
      </c>
      <c r="F677" s="86">
        <v>0</v>
      </c>
      <c r="G677" s="77">
        <v>0</v>
      </c>
      <c r="H677" s="77">
        <v>0</v>
      </c>
      <c r="I677" s="77">
        <v>0</v>
      </c>
      <c r="J677" s="77">
        <v>0</v>
      </c>
      <c r="K677" s="80"/>
      <c r="L677" s="155"/>
      <c r="M677" s="143"/>
    </row>
    <row r="678" customHeight="1" spans="1:13">
      <c r="A678" s="107"/>
      <c r="B678" s="213"/>
      <c r="C678" s="75"/>
      <c r="D678" s="80">
        <v>2023</v>
      </c>
      <c r="E678" s="77">
        <f t="shared" si="69"/>
        <v>0</v>
      </c>
      <c r="F678" s="86">
        <v>0</v>
      </c>
      <c r="G678" s="77">
        <v>0</v>
      </c>
      <c r="H678" s="77">
        <v>0</v>
      </c>
      <c r="I678" s="77">
        <v>0</v>
      </c>
      <c r="J678" s="77">
        <v>0</v>
      </c>
      <c r="K678" s="80"/>
      <c r="L678" s="155"/>
      <c r="M678" s="143"/>
    </row>
    <row r="679" customHeight="1" spans="1:13">
      <c r="A679" s="107"/>
      <c r="B679" s="213"/>
      <c r="C679" s="75"/>
      <c r="D679" s="80">
        <v>2024</v>
      </c>
      <c r="E679" s="77">
        <f t="shared" si="69"/>
        <v>0</v>
      </c>
      <c r="F679" s="86">
        <v>0</v>
      </c>
      <c r="G679" s="77">
        <v>0</v>
      </c>
      <c r="H679" s="77">
        <v>0</v>
      </c>
      <c r="I679" s="77">
        <v>0</v>
      </c>
      <c r="J679" s="77">
        <v>0</v>
      </c>
      <c r="K679" s="80"/>
      <c r="L679" s="155"/>
      <c r="M679" s="143"/>
    </row>
    <row r="680" customHeight="1" spans="1:13">
      <c r="A680" s="107"/>
      <c r="B680" s="213"/>
      <c r="C680" s="75"/>
      <c r="D680" s="80">
        <v>2025</v>
      </c>
      <c r="E680" s="77">
        <f t="shared" si="69"/>
        <v>0</v>
      </c>
      <c r="F680" s="86">
        <v>0</v>
      </c>
      <c r="G680" s="77">
        <v>0</v>
      </c>
      <c r="H680" s="77">
        <v>0</v>
      </c>
      <c r="I680" s="77">
        <v>0</v>
      </c>
      <c r="J680" s="77">
        <v>0</v>
      </c>
      <c r="K680" s="80"/>
      <c r="L680" s="155"/>
      <c r="M680" s="143"/>
    </row>
    <row r="681" customHeight="1" spans="1:13">
      <c r="A681" s="107"/>
      <c r="B681" s="213"/>
      <c r="C681" s="75"/>
      <c r="D681" s="80">
        <v>2026</v>
      </c>
      <c r="E681" s="77">
        <f t="shared" ref="E681" si="72">F681+G681+H681+J681</f>
        <v>0</v>
      </c>
      <c r="F681" s="86">
        <v>0</v>
      </c>
      <c r="G681" s="77">
        <v>0</v>
      </c>
      <c r="H681" s="77">
        <v>0</v>
      </c>
      <c r="I681" s="77">
        <v>0</v>
      </c>
      <c r="J681" s="77">
        <v>0</v>
      </c>
      <c r="K681" s="80"/>
      <c r="L681" s="155"/>
      <c r="M681" s="143"/>
    </row>
    <row r="682" customHeight="1" spans="1:13">
      <c r="A682" s="107"/>
      <c r="B682" s="213"/>
      <c r="C682" s="75"/>
      <c r="D682" s="80">
        <v>2027</v>
      </c>
      <c r="E682" s="77">
        <f t="shared" si="69"/>
        <v>0</v>
      </c>
      <c r="F682" s="86">
        <v>0</v>
      </c>
      <c r="G682" s="77">
        <v>0</v>
      </c>
      <c r="H682" s="77">
        <v>0</v>
      </c>
      <c r="I682" s="77">
        <v>0</v>
      </c>
      <c r="J682" s="77">
        <v>0</v>
      </c>
      <c r="K682" s="80"/>
      <c r="L682" s="155"/>
      <c r="M682" s="143"/>
    </row>
    <row r="683" customHeight="1" spans="1:13">
      <c r="A683" s="107"/>
      <c r="B683" s="213"/>
      <c r="C683" s="75"/>
      <c r="D683" s="80">
        <v>2028</v>
      </c>
      <c r="E683" s="77">
        <v>0</v>
      </c>
      <c r="F683" s="86">
        <v>0</v>
      </c>
      <c r="G683" s="77">
        <v>0</v>
      </c>
      <c r="H683" s="77">
        <v>0</v>
      </c>
      <c r="I683" s="77">
        <v>0</v>
      </c>
      <c r="J683" s="77">
        <v>0</v>
      </c>
      <c r="K683" s="80"/>
      <c r="L683" s="155"/>
      <c r="M683" s="143"/>
    </row>
    <row r="684" ht="23.1" customHeight="1" spans="1:13">
      <c r="A684" s="107" t="s">
        <v>301</v>
      </c>
      <c r="B684" s="213" t="s">
        <v>302</v>
      </c>
      <c r="C684" s="75" t="e">
        <f>#REF!+#REF!+#REF!+#REF!+#REF!+#REF!+#REF!+#REF!</f>
        <v>#REF!</v>
      </c>
      <c r="D684" s="76">
        <v>2018</v>
      </c>
      <c r="E684" s="77">
        <f t="shared" si="69"/>
        <v>0</v>
      </c>
      <c r="F684" s="77">
        <v>0</v>
      </c>
      <c r="G684" s="77">
        <v>0</v>
      </c>
      <c r="H684" s="77">
        <v>0</v>
      </c>
      <c r="I684" s="77">
        <v>0</v>
      </c>
      <c r="J684" s="77">
        <v>0</v>
      </c>
      <c r="K684" s="80" t="s">
        <v>303</v>
      </c>
      <c r="L684" s="155" t="s">
        <v>211</v>
      </c>
      <c r="M684" s="143"/>
    </row>
    <row r="685" ht="23.1" customHeight="1" spans="1:13">
      <c r="A685" s="107"/>
      <c r="B685" s="213"/>
      <c r="C685" s="75"/>
      <c r="D685" s="76">
        <v>2019</v>
      </c>
      <c r="E685" s="77">
        <f t="shared" si="69"/>
        <v>9990.3</v>
      </c>
      <c r="F685" s="77">
        <v>0</v>
      </c>
      <c r="G685" s="77">
        <v>9490.7</v>
      </c>
      <c r="H685" s="77">
        <v>499.6</v>
      </c>
      <c r="I685" s="77">
        <v>499.6</v>
      </c>
      <c r="J685" s="77">
        <v>0</v>
      </c>
      <c r="K685" s="80"/>
      <c r="L685" s="155"/>
      <c r="M685" s="143"/>
    </row>
    <row r="686" ht="23.1" customHeight="1" spans="1:13">
      <c r="A686" s="107"/>
      <c r="B686" s="213"/>
      <c r="C686" s="75"/>
      <c r="D686" s="80">
        <v>2020</v>
      </c>
      <c r="E686" s="77">
        <f t="shared" si="69"/>
        <v>10735.5</v>
      </c>
      <c r="F686" s="86">
        <v>0</v>
      </c>
      <c r="G686" s="77">
        <v>10198.7</v>
      </c>
      <c r="H686" s="77">
        <v>536.8</v>
      </c>
      <c r="I686" s="77">
        <v>536.8</v>
      </c>
      <c r="J686" s="77">
        <v>0</v>
      </c>
      <c r="K686" s="80"/>
      <c r="L686" s="155"/>
      <c r="M686" s="143"/>
    </row>
    <row r="687" ht="23.1" customHeight="1" spans="1:13">
      <c r="A687" s="107"/>
      <c r="B687" s="213"/>
      <c r="C687" s="75"/>
      <c r="D687" s="80">
        <v>2021</v>
      </c>
      <c r="E687" s="77">
        <f t="shared" si="69"/>
        <v>0</v>
      </c>
      <c r="F687" s="86">
        <v>0</v>
      </c>
      <c r="G687" s="77">
        <v>0</v>
      </c>
      <c r="H687" s="77">
        <v>0</v>
      </c>
      <c r="I687" s="77">
        <v>0</v>
      </c>
      <c r="J687" s="77">
        <v>0</v>
      </c>
      <c r="K687" s="80"/>
      <c r="L687" s="155"/>
      <c r="M687" s="143"/>
    </row>
    <row r="688" ht="23.1" customHeight="1" spans="1:13">
      <c r="A688" s="107"/>
      <c r="B688" s="213"/>
      <c r="C688" s="75"/>
      <c r="D688" s="80">
        <v>2022</v>
      </c>
      <c r="E688" s="77">
        <f t="shared" si="69"/>
        <v>0</v>
      </c>
      <c r="F688" s="86">
        <v>0</v>
      </c>
      <c r="G688" s="77">
        <v>0</v>
      </c>
      <c r="H688" s="77">
        <v>0</v>
      </c>
      <c r="I688" s="77">
        <v>0</v>
      </c>
      <c r="J688" s="77">
        <v>0</v>
      </c>
      <c r="K688" s="80"/>
      <c r="L688" s="155"/>
      <c r="M688" s="143"/>
    </row>
    <row r="689" ht="23.1" customHeight="1" spans="1:13">
      <c r="A689" s="107"/>
      <c r="B689" s="213"/>
      <c r="C689" s="75"/>
      <c r="D689" s="80">
        <v>2023</v>
      </c>
      <c r="E689" s="77">
        <f t="shared" si="69"/>
        <v>0</v>
      </c>
      <c r="F689" s="86">
        <v>0</v>
      </c>
      <c r="G689" s="77">
        <v>0</v>
      </c>
      <c r="H689" s="77">
        <v>0</v>
      </c>
      <c r="I689" s="77">
        <v>0</v>
      </c>
      <c r="J689" s="77">
        <v>0</v>
      </c>
      <c r="K689" s="80"/>
      <c r="L689" s="155"/>
      <c r="M689" s="143"/>
    </row>
    <row r="690" ht="23.1" customHeight="1" spans="1:13">
      <c r="A690" s="107"/>
      <c r="B690" s="213"/>
      <c r="C690" s="75"/>
      <c r="D690" s="80">
        <v>2024</v>
      </c>
      <c r="E690" s="77">
        <f t="shared" si="69"/>
        <v>0</v>
      </c>
      <c r="F690" s="86">
        <v>0</v>
      </c>
      <c r="G690" s="77">
        <v>0</v>
      </c>
      <c r="H690" s="77">
        <v>0</v>
      </c>
      <c r="I690" s="77">
        <v>0</v>
      </c>
      <c r="J690" s="77">
        <v>0</v>
      </c>
      <c r="K690" s="80"/>
      <c r="L690" s="155"/>
      <c r="M690" s="143"/>
    </row>
    <row r="691" ht="23.1" customHeight="1" spans="1:13">
      <c r="A691" s="107"/>
      <c r="B691" s="213"/>
      <c r="C691" s="75"/>
      <c r="D691" s="80">
        <v>2025</v>
      </c>
      <c r="E691" s="77">
        <f t="shared" si="69"/>
        <v>0</v>
      </c>
      <c r="F691" s="86">
        <v>0</v>
      </c>
      <c r="G691" s="77">
        <v>0</v>
      </c>
      <c r="H691" s="77">
        <v>0</v>
      </c>
      <c r="I691" s="77">
        <v>0</v>
      </c>
      <c r="J691" s="77">
        <v>0</v>
      </c>
      <c r="K691" s="80"/>
      <c r="L691" s="155"/>
      <c r="M691" s="143"/>
    </row>
    <row r="692" ht="23.1" customHeight="1" spans="1:13">
      <c r="A692" s="107"/>
      <c r="B692" s="213"/>
      <c r="C692" s="75"/>
      <c r="D692" s="80">
        <v>2026</v>
      </c>
      <c r="E692" s="77">
        <f t="shared" ref="E692" si="73">F692+G692+H692+J692</f>
        <v>0</v>
      </c>
      <c r="F692" s="86">
        <v>0</v>
      </c>
      <c r="G692" s="77">
        <v>0</v>
      </c>
      <c r="H692" s="77">
        <v>0</v>
      </c>
      <c r="I692" s="77">
        <v>0</v>
      </c>
      <c r="J692" s="77">
        <v>0</v>
      </c>
      <c r="K692" s="80"/>
      <c r="L692" s="155"/>
      <c r="M692" s="143"/>
    </row>
    <row r="693" ht="23.1" customHeight="1" spans="1:13">
      <c r="A693" s="107"/>
      <c r="B693" s="213"/>
      <c r="C693" s="75"/>
      <c r="D693" s="80">
        <v>2027</v>
      </c>
      <c r="E693" s="77">
        <f t="shared" si="69"/>
        <v>0</v>
      </c>
      <c r="F693" s="86">
        <v>0</v>
      </c>
      <c r="G693" s="77">
        <v>0</v>
      </c>
      <c r="H693" s="77">
        <v>0</v>
      </c>
      <c r="I693" s="77">
        <v>0</v>
      </c>
      <c r="J693" s="77">
        <v>0</v>
      </c>
      <c r="K693" s="80"/>
      <c r="L693" s="155"/>
      <c r="M693" s="143"/>
    </row>
    <row r="694" ht="23.1" customHeight="1" spans="1:13">
      <c r="A694" s="107"/>
      <c r="B694" s="213"/>
      <c r="C694" s="75"/>
      <c r="D694" s="80">
        <v>2028</v>
      </c>
      <c r="E694" s="77">
        <v>0</v>
      </c>
      <c r="F694" s="86">
        <v>0</v>
      </c>
      <c r="G694" s="77">
        <v>0</v>
      </c>
      <c r="H694" s="77">
        <v>0</v>
      </c>
      <c r="I694" s="77">
        <v>0</v>
      </c>
      <c r="J694" s="77">
        <v>0</v>
      </c>
      <c r="K694" s="80"/>
      <c r="L694" s="155"/>
      <c r="M694" s="143"/>
    </row>
    <row r="695" customHeight="1" spans="1:13">
      <c r="A695" s="107" t="s">
        <v>304</v>
      </c>
      <c r="B695" s="213" t="s">
        <v>305</v>
      </c>
      <c r="C695" s="75" t="e">
        <f>#REF!+#REF!+#REF!+#REF!+#REF!+#REF!+#REF!+#REF!</f>
        <v>#REF!</v>
      </c>
      <c r="D695" s="76">
        <v>2018</v>
      </c>
      <c r="E695" s="77">
        <f t="shared" si="69"/>
        <v>0</v>
      </c>
      <c r="F695" s="77">
        <v>0</v>
      </c>
      <c r="G695" s="77">
        <v>0</v>
      </c>
      <c r="H695" s="77">
        <v>0</v>
      </c>
      <c r="I695" s="77">
        <v>0</v>
      </c>
      <c r="J695" s="77">
        <v>0</v>
      </c>
      <c r="K695" s="80" t="s">
        <v>306</v>
      </c>
      <c r="L695" s="155" t="s">
        <v>35</v>
      </c>
      <c r="M695" s="143"/>
    </row>
    <row r="696" customHeight="1" spans="1:13">
      <c r="A696" s="107"/>
      <c r="B696" s="213"/>
      <c r="C696" s="75"/>
      <c r="D696" s="76">
        <v>2019</v>
      </c>
      <c r="E696" s="77">
        <f t="shared" si="69"/>
        <v>557.8</v>
      </c>
      <c r="F696" s="77">
        <v>0</v>
      </c>
      <c r="G696" s="77">
        <v>0</v>
      </c>
      <c r="H696" s="77">
        <v>557.8</v>
      </c>
      <c r="I696" s="77">
        <v>0</v>
      </c>
      <c r="J696" s="77">
        <v>0</v>
      </c>
      <c r="K696" s="80"/>
      <c r="L696" s="155"/>
      <c r="M696" s="143"/>
    </row>
    <row r="697" customHeight="1" spans="1:13">
      <c r="A697" s="107"/>
      <c r="B697" s="213"/>
      <c r="C697" s="75"/>
      <c r="D697" s="80">
        <v>2020</v>
      </c>
      <c r="E697" s="77">
        <f t="shared" si="69"/>
        <v>296.1</v>
      </c>
      <c r="F697" s="86">
        <v>0</v>
      </c>
      <c r="G697" s="77">
        <v>0</v>
      </c>
      <c r="H697" s="77">
        <v>296.1</v>
      </c>
      <c r="I697" s="77">
        <v>0</v>
      </c>
      <c r="J697" s="77">
        <v>0</v>
      </c>
      <c r="K697" s="80"/>
      <c r="L697" s="155"/>
      <c r="M697" s="143"/>
    </row>
    <row r="698" customHeight="1" spans="1:13">
      <c r="A698" s="107"/>
      <c r="B698" s="213"/>
      <c r="C698" s="75"/>
      <c r="D698" s="80">
        <v>2021</v>
      </c>
      <c r="E698" s="77">
        <f t="shared" si="69"/>
        <v>0</v>
      </c>
      <c r="F698" s="86">
        <v>0</v>
      </c>
      <c r="G698" s="77">
        <v>0</v>
      </c>
      <c r="H698" s="77">
        <v>0</v>
      </c>
      <c r="I698" s="77">
        <v>0</v>
      </c>
      <c r="J698" s="77">
        <v>0</v>
      </c>
      <c r="K698" s="80"/>
      <c r="L698" s="155"/>
      <c r="M698" s="143"/>
    </row>
    <row r="699" customHeight="1" spans="1:13">
      <c r="A699" s="107"/>
      <c r="B699" s="213"/>
      <c r="C699" s="75"/>
      <c r="D699" s="80">
        <v>2022</v>
      </c>
      <c r="E699" s="77">
        <f t="shared" si="69"/>
        <v>0</v>
      </c>
      <c r="F699" s="86">
        <v>0</v>
      </c>
      <c r="G699" s="77">
        <v>0</v>
      </c>
      <c r="H699" s="77">
        <v>0</v>
      </c>
      <c r="I699" s="77">
        <v>0</v>
      </c>
      <c r="J699" s="77">
        <v>0</v>
      </c>
      <c r="K699" s="80"/>
      <c r="L699" s="155"/>
      <c r="M699" s="143"/>
    </row>
    <row r="700" customHeight="1" spans="1:13">
      <c r="A700" s="107"/>
      <c r="B700" s="213"/>
      <c r="C700" s="75"/>
      <c r="D700" s="80">
        <v>2023</v>
      </c>
      <c r="E700" s="77">
        <f t="shared" si="69"/>
        <v>0</v>
      </c>
      <c r="F700" s="86">
        <v>0</v>
      </c>
      <c r="G700" s="77">
        <v>0</v>
      </c>
      <c r="H700" s="77">
        <v>0</v>
      </c>
      <c r="I700" s="77">
        <v>0</v>
      </c>
      <c r="J700" s="77">
        <v>0</v>
      </c>
      <c r="K700" s="80"/>
      <c r="L700" s="155"/>
      <c r="M700" s="143"/>
    </row>
    <row r="701" customHeight="1" spans="1:13">
      <c r="A701" s="107"/>
      <c r="B701" s="213"/>
      <c r="C701" s="75"/>
      <c r="D701" s="80">
        <v>2024</v>
      </c>
      <c r="E701" s="77">
        <f t="shared" si="69"/>
        <v>0</v>
      </c>
      <c r="F701" s="86">
        <v>0</v>
      </c>
      <c r="G701" s="77">
        <v>0</v>
      </c>
      <c r="H701" s="77">
        <v>0</v>
      </c>
      <c r="I701" s="77">
        <v>0</v>
      </c>
      <c r="J701" s="77">
        <v>0</v>
      </c>
      <c r="K701" s="80"/>
      <c r="L701" s="155"/>
      <c r="M701" s="143"/>
    </row>
    <row r="702" customHeight="1" spans="1:13">
      <c r="A702" s="107"/>
      <c r="B702" s="213"/>
      <c r="C702" s="75"/>
      <c r="D702" s="80">
        <v>2025</v>
      </c>
      <c r="E702" s="77">
        <f t="shared" si="69"/>
        <v>0</v>
      </c>
      <c r="F702" s="86">
        <v>0</v>
      </c>
      <c r="G702" s="77">
        <v>0</v>
      </c>
      <c r="H702" s="77">
        <v>0</v>
      </c>
      <c r="I702" s="77">
        <v>0</v>
      </c>
      <c r="J702" s="77">
        <v>0</v>
      </c>
      <c r="K702" s="80"/>
      <c r="L702" s="155"/>
      <c r="M702" s="143"/>
    </row>
    <row r="703" customHeight="1" spans="1:13">
      <c r="A703" s="107"/>
      <c r="B703" s="213"/>
      <c r="C703" s="75"/>
      <c r="D703" s="80">
        <v>2026</v>
      </c>
      <c r="E703" s="77">
        <f t="shared" ref="E703" si="74">F703+G703+H703+J703</f>
        <v>0</v>
      </c>
      <c r="F703" s="86">
        <v>0</v>
      </c>
      <c r="G703" s="77">
        <v>0</v>
      </c>
      <c r="H703" s="77">
        <v>0</v>
      </c>
      <c r="I703" s="77">
        <v>0</v>
      </c>
      <c r="J703" s="77">
        <v>0</v>
      </c>
      <c r="K703" s="80"/>
      <c r="L703" s="155"/>
      <c r="M703" s="143"/>
    </row>
    <row r="704" customHeight="1" spans="1:13">
      <c r="A704" s="107"/>
      <c r="B704" s="213"/>
      <c r="C704" s="75"/>
      <c r="D704" s="80">
        <v>2027</v>
      </c>
      <c r="E704" s="77">
        <f t="shared" si="69"/>
        <v>0</v>
      </c>
      <c r="F704" s="86">
        <v>0</v>
      </c>
      <c r="G704" s="77">
        <v>0</v>
      </c>
      <c r="H704" s="77">
        <v>0</v>
      </c>
      <c r="I704" s="77">
        <v>0</v>
      </c>
      <c r="J704" s="77">
        <v>0</v>
      </c>
      <c r="K704" s="80"/>
      <c r="L704" s="155"/>
      <c r="M704" s="143"/>
    </row>
    <row r="705" s="23" customFormat="1" customHeight="1" spans="1:13">
      <c r="A705" s="107"/>
      <c r="B705" s="213"/>
      <c r="C705" s="75"/>
      <c r="D705" s="80">
        <v>2028</v>
      </c>
      <c r="E705" s="77">
        <v>0</v>
      </c>
      <c r="F705" s="86">
        <v>0</v>
      </c>
      <c r="G705" s="77">
        <v>0</v>
      </c>
      <c r="H705" s="77">
        <v>0</v>
      </c>
      <c r="I705" s="77">
        <v>0</v>
      </c>
      <c r="J705" s="77">
        <v>0</v>
      </c>
      <c r="K705" s="80"/>
      <c r="L705" s="155"/>
      <c r="M705" s="194"/>
    </row>
    <row r="706" customHeight="1" spans="1:13">
      <c r="A706" s="107"/>
      <c r="B706" s="213" t="s">
        <v>307</v>
      </c>
      <c r="C706" s="75" t="e">
        <f>#REF!+#REF!+#REF!+#REF!+#REF!+#REF!+#REF!+#REF!</f>
        <v>#REF!</v>
      </c>
      <c r="D706" s="181">
        <v>2018</v>
      </c>
      <c r="E706" s="88">
        <f t="shared" si="69"/>
        <v>0</v>
      </c>
      <c r="F706" s="88">
        <v>0</v>
      </c>
      <c r="G706" s="88">
        <v>0</v>
      </c>
      <c r="H706" s="88">
        <v>0</v>
      </c>
      <c r="I706" s="88">
        <v>0</v>
      </c>
      <c r="J706" s="88">
        <v>0</v>
      </c>
      <c r="K706" s="80" t="s">
        <v>308</v>
      </c>
      <c r="L706" s="155" t="s">
        <v>309</v>
      </c>
      <c r="M706" s="143"/>
    </row>
    <row r="707" customHeight="1" spans="1:13">
      <c r="A707" s="107"/>
      <c r="B707" s="213"/>
      <c r="C707" s="75"/>
      <c r="D707" s="76">
        <v>2019</v>
      </c>
      <c r="E707" s="77">
        <f t="shared" si="69"/>
        <v>0</v>
      </c>
      <c r="F707" s="77">
        <v>0</v>
      </c>
      <c r="G707" s="77">
        <v>0</v>
      </c>
      <c r="H707" s="77">
        <v>0</v>
      </c>
      <c r="I707" s="77">
        <v>0</v>
      </c>
      <c r="J707" s="77">
        <v>0</v>
      </c>
      <c r="K707" s="80"/>
      <c r="L707" s="155"/>
      <c r="M707" s="143"/>
    </row>
    <row r="708" customHeight="1" spans="1:13">
      <c r="A708" s="107"/>
      <c r="B708" s="213"/>
      <c r="C708" s="75"/>
      <c r="D708" s="80">
        <v>2020</v>
      </c>
      <c r="E708" s="77">
        <f t="shared" si="69"/>
        <v>768.5</v>
      </c>
      <c r="F708" s="86">
        <v>0</v>
      </c>
      <c r="G708" s="77">
        <v>0</v>
      </c>
      <c r="H708" s="77">
        <v>768.5</v>
      </c>
      <c r="I708" s="77">
        <v>0</v>
      </c>
      <c r="J708" s="77">
        <v>0</v>
      </c>
      <c r="K708" s="80"/>
      <c r="L708" s="155"/>
      <c r="M708" s="143"/>
    </row>
    <row r="709" customHeight="1" spans="1:13">
      <c r="A709" s="107"/>
      <c r="B709" s="213"/>
      <c r="C709" s="75"/>
      <c r="D709" s="80">
        <v>2021</v>
      </c>
      <c r="E709" s="77">
        <f t="shared" si="69"/>
        <v>0</v>
      </c>
      <c r="F709" s="86">
        <v>0</v>
      </c>
      <c r="G709" s="77">
        <v>0</v>
      </c>
      <c r="H709" s="77">
        <v>0</v>
      </c>
      <c r="I709" s="77">
        <v>0</v>
      </c>
      <c r="J709" s="77">
        <v>0</v>
      </c>
      <c r="K709" s="80"/>
      <c r="L709" s="155"/>
      <c r="M709" s="143"/>
    </row>
    <row r="710" customHeight="1" spans="1:13">
      <c r="A710" s="107"/>
      <c r="B710" s="213"/>
      <c r="C710" s="75"/>
      <c r="D710" s="80">
        <v>2022</v>
      </c>
      <c r="E710" s="77">
        <f t="shared" si="69"/>
        <v>0</v>
      </c>
      <c r="F710" s="86">
        <v>0</v>
      </c>
      <c r="G710" s="77">
        <v>0</v>
      </c>
      <c r="H710" s="77">
        <v>0</v>
      </c>
      <c r="I710" s="77">
        <v>0</v>
      </c>
      <c r="J710" s="77">
        <v>0</v>
      </c>
      <c r="K710" s="80"/>
      <c r="L710" s="155"/>
      <c r="M710" s="143"/>
    </row>
    <row r="711" customHeight="1" spans="1:13">
      <c r="A711" s="107"/>
      <c r="B711" s="213"/>
      <c r="C711" s="75"/>
      <c r="D711" s="80">
        <v>2023</v>
      </c>
      <c r="E711" s="77">
        <f t="shared" si="69"/>
        <v>0</v>
      </c>
      <c r="F711" s="86">
        <v>0</v>
      </c>
      <c r="G711" s="77">
        <v>0</v>
      </c>
      <c r="H711" s="77">
        <v>0</v>
      </c>
      <c r="I711" s="77">
        <v>0</v>
      </c>
      <c r="J711" s="77">
        <v>0</v>
      </c>
      <c r="K711" s="80"/>
      <c r="L711" s="155"/>
      <c r="M711" s="143"/>
    </row>
    <row r="712" customHeight="1" spans="1:13">
      <c r="A712" s="107"/>
      <c r="B712" s="213"/>
      <c r="C712" s="75"/>
      <c r="D712" s="80">
        <v>2024</v>
      </c>
      <c r="E712" s="77">
        <f t="shared" si="69"/>
        <v>0</v>
      </c>
      <c r="F712" s="86">
        <v>0</v>
      </c>
      <c r="G712" s="77">
        <v>0</v>
      </c>
      <c r="H712" s="77">
        <v>0</v>
      </c>
      <c r="I712" s="77">
        <v>0</v>
      </c>
      <c r="J712" s="77">
        <v>0</v>
      </c>
      <c r="K712" s="80"/>
      <c r="L712" s="155"/>
      <c r="M712" s="143"/>
    </row>
    <row r="713" customHeight="1" spans="1:13">
      <c r="A713" s="107"/>
      <c r="B713" s="213"/>
      <c r="C713" s="75"/>
      <c r="D713" s="80">
        <v>2025</v>
      </c>
      <c r="E713" s="77">
        <f t="shared" si="69"/>
        <v>0</v>
      </c>
      <c r="F713" s="86">
        <v>0</v>
      </c>
      <c r="G713" s="77">
        <v>0</v>
      </c>
      <c r="H713" s="77">
        <v>0</v>
      </c>
      <c r="I713" s="77">
        <v>0</v>
      </c>
      <c r="J713" s="77">
        <v>0</v>
      </c>
      <c r="K713" s="80"/>
      <c r="L713" s="155"/>
      <c r="M713" s="143"/>
    </row>
    <row r="714" customHeight="1" spans="1:13">
      <c r="A714" s="107"/>
      <c r="B714" s="213"/>
      <c r="C714" s="75"/>
      <c r="D714" s="80">
        <v>2026</v>
      </c>
      <c r="E714" s="77">
        <f t="shared" ref="E714" si="75">F714+G714+H714+J714</f>
        <v>0</v>
      </c>
      <c r="F714" s="86">
        <v>0</v>
      </c>
      <c r="G714" s="77">
        <v>0</v>
      </c>
      <c r="H714" s="77">
        <v>0</v>
      </c>
      <c r="I714" s="77">
        <v>0</v>
      </c>
      <c r="J714" s="77">
        <v>0</v>
      </c>
      <c r="K714" s="80"/>
      <c r="L714" s="155"/>
      <c r="M714" s="143"/>
    </row>
    <row r="715" customHeight="1" spans="1:13">
      <c r="A715" s="107"/>
      <c r="B715" s="213"/>
      <c r="C715" s="75"/>
      <c r="D715" s="80">
        <v>2027</v>
      </c>
      <c r="E715" s="77">
        <f t="shared" si="69"/>
        <v>0</v>
      </c>
      <c r="F715" s="86">
        <v>0</v>
      </c>
      <c r="G715" s="77">
        <v>0</v>
      </c>
      <c r="H715" s="77">
        <v>0</v>
      </c>
      <c r="I715" s="77">
        <v>0</v>
      </c>
      <c r="J715" s="77">
        <v>0</v>
      </c>
      <c r="K715" s="80"/>
      <c r="L715" s="155"/>
      <c r="M715" s="143"/>
    </row>
    <row r="716" customHeight="1" spans="1:13">
      <c r="A716" s="107"/>
      <c r="B716" s="213"/>
      <c r="C716" s="75"/>
      <c r="D716" s="80">
        <v>2028</v>
      </c>
      <c r="E716" s="77">
        <v>0</v>
      </c>
      <c r="F716" s="86">
        <v>0</v>
      </c>
      <c r="G716" s="77">
        <v>0</v>
      </c>
      <c r="H716" s="77">
        <v>0</v>
      </c>
      <c r="I716" s="77">
        <v>0</v>
      </c>
      <c r="J716" s="77">
        <v>0</v>
      </c>
      <c r="K716" s="80"/>
      <c r="L716" s="155"/>
      <c r="M716" s="143"/>
    </row>
    <row r="717" ht="23.45" customHeight="1" spans="1:13">
      <c r="A717" s="107" t="s">
        <v>310</v>
      </c>
      <c r="B717" s="213" t="s">
        <v>311</v>
      </c>
      <c r="C717" s="75" t="e">
        <f>#REF!+#REF!+#REF!+#REF!+#REF!+#REF!+#REF!+#REF!</f>
        <v>#REF!</v>
      </c>
      <c r="D717" s="76">
        <v>2018</v>
      </c>
      <c r="E717" s="77">
        <f t="shared" si="69"/>
        <v>0</v>
      </c>
      <c r="F717" s="77">
        <v>0</v>
      </c>
      <c r="G717" s="77">
        <v>0</v>
      </c>
      <c r="H717" s="77">
        <v>0</v>
      </c>
      <c r="I717" s="77">
        <v>0</v>
      </c>
      <c r="J717" s="77">
        <v>0</v>
      </c>
      <c r="K717" s="80" t="s">
        <v>312</v>
      </c>
      <c r="L717" s="155" t="s">
        <v>211</v>
      </c>
      <c r="M717" s="143"/>
    </row>
    <row r="718" ht="23.45" customHeight="1" spans="1:13">
      <c r="A718" s="107"/>
      <c r="B718" s="213"/>
      <c r="C718" s="75"/>
      <c r="D718" s="76">
        <v>2019</v>
      </c>
      <c r="E718" s="77">
        <f t="shared" si="69"/>
        <v>0</v>
      </c>
      <c r="F718" s="77">
        <v>0</v>
      </c>
      <c r="G718" s="77">
        <v>0</v>
      </c>
      <c r="H718" s="77">
        <v>0</v>
      </c>
      <c r="I718" s="77">
        <v>0</v>
      </c>
      <c r="J718" s="77">
        <v>0</v>
      </c>
      <c r="K718" s="80"/>
      <c r="L718" s="155"/>
      <c r="M718" s="143"/>
    </row>
    <row r="719" ht="23.45" customHeight="1" spans="1:13">
      <c r="A719" s="107"/>
      <c r="B719" s="213"/>
      <c r="C719" s="75"/>
      <c r="D719" s="80">
        <v>2020</v>
      </c>
      <c r="E719" s="77">
        <f t="shared" si="69"/>
        <v>0</v>
      </c>
      <c r="F719" s="86">
        <v>0</v>
      </c>
      <c r="G719" s="77">
        <v>0</v>
      </c>
      <c r="H719" s="77">
        <v>0</v>
      </c>
      <c r="I719" s="77">
        <v>0</v>
      </c>
      <c r="J719" s="77">
        <v>0</v>
      </c>
      <c r="K719" s="80"/>
      <c r="L719" s="155"/>
      <c r="M719" s="143"/>
    </row>
    <row r="720" ht="23.45" customHeight="1" spans="1:13">
      <c r="A720" s="107"/>
      <c r="B720" s="213"/>
      <c r="C720" s="75"/>
      <c r="D720" s="80">
        <v>2021</v>
      </c>
      <c r="E720" s="77">
        <f t="shared" si="69"/>
        <v>0</v>
      </c>
      <c r="F720" s="86">
        <v>0</v>
      </c>
      <c r="G720" s="77">
        <v>0</v>
      </c>
      <c r="H720" s="77">
        <v>0</v>
      </c>
      <c r="I720" s="77">
        <v>0</v>
      </c>
      <c r="J720" s="77">
        <v>0</v>
      </c>
      <c r="K720" s="80"/>
      <c r="L720" s="155"/>
      <c r="M720" s="143"/>
    </row>
    <row r="721" ht="23.45" customHeight="1" spans="1:13">
      <c r="A721" s="107"/>
      <c r="B721" s="213"/>
      <c r="C721" s="75"/>
      <c r="D721" s="80">
        <v>2022</v>
      </c>
      <c r="E721" s="77">
        <f t="shared" si="69"/>
        <v>0</v>
      </c>
      <c r="F721" s="86">
        <v>0</v>
      </c>
      <c r="G721" s="77">
        <v>0</v>
      </c>
      <c r="H721" s="77">
        <v>0</v>
      </c>
      <c r="I721" s="77">
        <v>0</v>
      </c>
      <c r="J721" s="77">
        <v>0</v>
      </c>
      <c r="K721" s="80"/>
      <c r="L721" s="155"/>
      <c r="M721" s="143"/>
    </row>
    <row r="722" ht="23.45" customHeight="1" spans="1:13">
      <c r="A722" s="107"/>
      <c r="B722" s="213"/>
      <c r="C722" s="75"/>
      <c r="D722" s="80">
        <v>2023</v>
      </c>
      <c r="E722" s="77">
        <f t="shared" si="69"/>
        <v>0</v>
      </c>
      <c r="F722" s="86">
        <v>0</v>
      </c>
      <c r="G722" s="77">
        <v>0</v>
      </c>
      <c r="H722" s="77">
        <v>0</v>
      </c>
      <c r="I722" s="77">
        <v>0</v>
      </c>
      <c r="J722" s="77">
        <v>0</v>
      </c>
      <c r="K722" s="80"/>
      <c r="L722" s="155"/>
      <c r="M722" s="143"/>
    </row>
    <row r="723" ht="23.45" customHeight="1" spans="1:13">
      <c r="A723" s="107"/>
      <c r="B723" s="213"/>
      <c r="C723" s="75"/>
      <c r="D723" s="80">
        <v>2024</v>
      </c>
      <c r="E723" s="77">
        <f t="shared" si="69"/>
        <v>0</v>
      </c>
      <c r="F723" s="86">
        <v>0</v>
      </c>
      <c r="G723" s="77">
        <v>0</v>
      </c>
      <c r="H723" s="77">
        <v>0</v>
      </c>
      <c r="I723" s="77">
        <v>0</v>
      </c>
      <c r="J723" s="77">
        <v>0</v>
      </c>
      <c r="K723" s="80"/>
      <c r="L723" s="155"/>
      <c r="M723" s="143"/>
    </row>
    <row r="724" ht="23.45" customHeight="1" spans="1:13">
      <c r="A724" s="107"/>
      <c r="B724" s="213"/>
      <c r="C724" s="75"/>
      <c r="D724" s="80">
        <v>2025</v>
      </c>
      <c r="E724" s="77">
        <f t="shared" si="69"/>
        <v>0</v>
      </c>
      <c r="F724" s="86">
        <v>0</v>
      </c>
      <c r="G724" s="77">
        <v>0</v>
      </c>
      <c r="H724" s="77">
        <v>0</v>
      </c>
      <c r="I724" s="77">
        <v>0</v>
      </c>
      <c r="J724" s="77">
        <v>0</v>
      </c>
      <c r="K724" s="80"/>
      <c r="L724" s="155"/>
      <c r="M724" s="143"/>
    </row>
    <row r="725" ht="23.45" customHeight="1" spans="1:13">
      <c r="A725" s="107"/>
      <c r="B725" s="213"/>
      <c r="C725" s="75"/>
      <c r="D725" s="80">
        <v>2026</v>
      </c>
      <c r="E725" s="77">
        <f t="shared" ref="E725" si="76">F725+G725+H725+J725</f>
        <v>0</v>
      </c>
      <c r="F725" s="86">
        <v>0</v>
      </c>
      <c r="G725" s="77">
        <v>0</v>
      </c>
      <c r="H725" s="77">
        <v>0</v>
      </c>
      <c r="I725" s="77">
        <v>0</v>
      </c>
      <c r="J725" s="77">
        <v>0</v>
      </c>
      <c r="K725" s="80"/>
      <c r="L725" s="155"/>
      <c r="M725" s="143"/>
    </row>
    <row r="726" ht="23.45" customHeight="1" spans="1:13">
      <c r="A726" s="107"/>
      <c r="B726" s="213"/>
      <c r="C726" s="75"/>
      <c r="D726" s="80">
        <v>2027</v>
      </c>
      <c r="E726" s="77">
        <f t="shared" si="69"/>
        <v>0</v>
      </c>
      <c r="F726" s="86">
        <v>0</v>
      </c>
      <c r="G726" s="77">
        <v>0</v>
      </c>
      <c r="H726" s="77">
        <v>0</v>
      </c>
      <c r="I726" s="77">
        <v>0</v>
      </c>
      <c r="J726" s="77">
        <v>0</v>
      </c>
      <c r="K726" s="80"/>
      <c r="L726" s="155"/>
      <c r="M726" s="143"/>
    </row>
    <row r="727" ht="23.45" customHeight="1" spans="1:13">
      <c r="A727" s="107"/>
      <c r="B727" s="213"/>
      <c r="C727" s="75"/>
      <c r="D727" s="80">
        <v>2028</v>
      </c>
      <c r="E727" s="77">
        <v>0</v>
      </c>
      <c r="F727" s="86">
        <v>0</v>
      </c>
      <c r="G727" s="77">
        <v>0</v>
      </c>
      <c r="H727" s="77">
        <v>0</v>
      </c>
      <c r="I727" s="77">
        <v>0</v>
      </c>
      <c r="J727" s="77">
        <v>0</v>
      </c>
      <c r="K727" s="80"/>
      <c r="L727" s="155"/>
      <c r="M727" s="143"/>
    </row>
    <row r="728" ht="23.45" customHeight="1" spans="1:13">
      <c r="A728" s="107" t="s">
        <v>313</v>
      </c>
      <c r="B728" s="218" t="s">
        <v>314</v>
      </c>
      <c r="C728" s="75" t="e">
        <f>#REF!+#REF!+#REF!+#REF!+#REF!+#REF!+#REF!+#REF!</f>
        <v>#REF!</v>
      </c>
      <c r="D728" s="76">
        <v>2018</v>
      </c>
      <c r="E728" s="77">
        <f t="shared" si="69"/>
        <v>0</v>
      </c>
      <c r="F728" s="77">
        <v>0</v>
      </c>
      <c r="G728" s="77">
        <v>0</v>
      </c>
      <c r="H728" s="77">
        <v>0</v>
      </c>
      <c r="I728" s="77">
        <v>0</v>
      </c>
      <c r="J728" s="77">
        <v>0</v>
      </c>
      <c r="K728" s="80" t="s">
        <v>315</v>
      </c>
      <c r="L728" s="155" t="s">
        <v>211</v>
      </c>
      <c r="M728" s="143"/>
    </row>
    <row r="729" ht="23.45" customHeight="1" spans="1:13">
      <c r="A729" s="107"/>
      <c r="B729" s="219"/>
      <c r="C729" s="75"/>
      <c r="D729" s="76">
        <v>2019</v>
      </c>
      <c r="E729" s="77">
        <f t="shared" si="69"/>
        <v>0</v>
      </c>
      <c r="F729" s="77">
        <v>0</v>
      </c>
      <c r="G729" s="77">
        <v>0</v>
      </c>
      <c r="H729" s="77">
        <v>0</v>
      </c>
      <c r="I729" s="77">
        <v>0</v>
      </c>
      <c r="J729" s="77">
        <v>0</v>
      </c>
      <c r="K729" s="80"/>
      <c r="L729" s="155"/>
      <c r="M729" s="143"/>
    </row>
    <row r="730" ht="23.45" customHeight="1" spans="1:13">
      <c r="A730" s="107"/>
      <c r="B730" s="219"/>
      <c r="C730" s="75"/>
      <c r="D730" s="80">
        <v>2020</v>
      </c>
      <c r="E730" s="77">
        <f t="shared" si="69"/>
        <v>30040.7</v>
      </c>
      <c r="F730" s="86">
        <v>0</v>
      </c>
      <c r="G730" s="77">
        <v>27996</v>
      </c>
      <c r="H730" s="77">
        <v>2044.7</v>
      </c>
      <c r="I730" s="77">
        <v>1473.5</v>
      </c>
      <c r="J730" s="77">
        <v>0</v>
      </c>
      <c r="K730" s="80"/>
      <c r="L730" s="155"/>
      <c r="M730" s="143"/>
    </row>
    <row r="731" ht="23.45" customHeight="1" spans="1:13">
      <c r="A731" s="107"/>
      <c r="B731" s="219"/>
      <c r="C731" s="75"/>
      <c r="D731" s="80">
        <v>2021</v>
      </c>
      <c r="E731" s="77">
        <f t="shared" si="69"/>
        <v>78410.8</v>
      </c>
      <c r="F731" s="86">
        <v>0</v>
      </c>
      <c r="G731" s="77">
        <v>72377.6</v>
      </c>
      <c r="H731" s="77">
        <v>6033.2</v>
      </c>
      <c r="I731" s="77">
        <v>3809.4</v>
      </c>
      <c r="J731" s="77">
        <v>0</v>
      </c>
      <c r="K731" s="80"/>
      <c r="L731" s="155"/>
      <c r="M731" s="143"/>
    </row>
    <row r="732" ht="23.45" customHeight="1" spans="1:13">
      <c r="A732" s="107"/>
      <c r="B732" s="219"/>
      <c r="C732" s="75"/>
      <c r="D732" s="80">
        <v>2022</v>
      </c>
      <c r="E732" s="77">
        <f t="shared" si="69"/>
        <v>65579.8</v>
      </c>
      <c r="F732" s="86">
        <v>0</v>
      </c>
      <c r="G732" s="77">
        <v>62300.8</v>
      </c>
      <c r="H732" s="77">
        <f>3279.1-0.1</f>
        <v>3279</v>
      </c>
      <c r="I732" s="77">
        <v>3279</v>
      </c>
      <c r="J732" s="77">
        <v>0</v>
      </c>
      <c r="K732" s="80"/>
      <c r="L732" s="155"/>
      <c r="M732" s="143"/>
    </row>
    <row r="733" ht="23.45" customHeight="1" spans="1:13">
      <c r="A733" s="107"/>
      <c r="B733" s="219"/>
      <c r="C733" s="75"/>
      <c r="D733" s="80">
        <v>2023</v>
      </c>
      <c r="E733" s="77">
        <f t="shared" si="69"/>
        <v>68998.5</v>
      </c>
      <c r="F733" s="86">
        <v>0</v>
      </c>
      <c r="G733" s="77">
        <f>61465.1+4083.4</f>
        <v>65548.5</v>
      </c>
      <c r="H733" s="77">
        <f>I733</f>
        <v>3450</v>
      </c>
      <c r="I733" s="77">
        <f>3235.1+214.9</f>
        <v>3450</v>
      </c>
      <c r="J733" s="77">
        <v>0</v>
      </c>
      <c r="K733" s="80"/>
      <c r="L733" s="155"/>
      <c r="M733" s="143"/>
    </row>
    <row r="734" ht="23.45" customHeight="1" spans="1:13">
      <c r="A734" s="107"/>
      <c r="B734" s="219"/>
      <c r="C734" s="75"/>
      <c r="D734" s="80">
        <v>2024</v>
      </c>
      <c r="E734" s="77">
        <f>F734+G734+H734+J734</f>
        <v>84371.1</v>
      </c>
      <c r="F734" s="86">
        <v>0</v>
      </c>
      <c r="G734" s="87">
        <f>76233.1+4431.6-118.6-420.6</f>
        <v>80125.5</v>
      </c>
      <c r="H734" s="87">
        <f>I734+496.3-496.3+28.4</f>
        <v>4245.6</v>
      </c>
      <c r="I734" s="87">
        <f>4012.3+729.6-496.3-28.4</f>
        <v>4217.2</v>
      </c>
      <c r="J734" s="77">
        <v>0</v>
      </c>
      <c r="K734" s="80"/>
      <c r="L734" s="155"/>
      <c r="M734" s="143"/>
    </row>
    <row r="735" ht="23.45" customHeight="1" spans="1:13">
      <c r="A735" s="107"/>
      <c r="B735" s="218" t="s">
        <v>316</v>
      </c>
      <c r="C735" s="75"/>
      <c r="D735" s="80">
        <v>2025</v>
      </c>
      <c r="E735" s="77">
        <f>F735+G735+H735+J735</f>
        <v>84422.4</v>
      </c>
      <c r="F735" s="86">
        <f>64741.7-2184.8</f>
        <v>62556.9</v>
      </c>
      <c r="G735" s="87">
        <f>83002.2-64741.7-616.2</f>
        <v>17644.3</v>
      </c>
      <c r="H735" s="87">
        <f>4368.6-147.4</f>
        <v>4221.2</v>
      </c>
      <c r="I735" s="87">
        <f>4368.6-147.4</f>
        <v>4221.2</v>
      </c>
      <c r="J735" s="77">
        <v>0</v>
      </c>
      <c r="K735" s="80"/>
      <c r="L735" s="155"/>
      <c r="M735" s="143"/>
    </row>
    <row r="736" ht="23.45" customHeight="1" spans="1:13">
      <c r="A736" s="107"/>
      <c r="B736" s="219"/>
      <c r="C736" s="75"/>
      <c r="D736" s="80">
        <v>2026</v>
      </c>
      <c r="E736" s="77">
        <f>F736+G736+H736+J736</f>
        <v>86792.4</v>
      </c>
      <c r="F736" s="86">
        <v>64313.1</v>
      </c>
      <c r="G736" s="87">
        <v>18139.6</v>
      </c>
      <c r="H736" s="87">
        <v>4339.7</v>
      </c>
      <c r="I736" s="110">
        <f>H736</f>
        <v>4339.7</v>
      </c>
      <c r="J736" s="77">
        <v>0</v>
      </c>
      <c r="K736" s="80"/>
      <c r="L736" s="155"/>
      <c r="M736" s="143"/>
    </row>
    <row r="737" ht="23.45" customHeight="1" spans="1:13">
      <c r="A737" s="107"/>
      <c r="B737" s="219"/>
      <c r="C737" s="75"/>
      <c r="D737" s="80">
        <v>2027</v>
      </c>
      <c r="E737" s="77">
        <f>F737+G737+H737+J737</f>
        <v>92263.2</v>
      </c>
      <c r="F737" s="86">
        <v>68367</v>
      </c>
      <c r="G737" s="87">
        <v>19283</v>
      </c>
      <c r="H737" s="87">
        <v>4613.2</v>
      </c>
      <c r="I737" s="110">
        <f>H737</f>
        <v>4613.2</v>
      </c>
      <c r="J737" s="77">
        <v>0</v>
      </c>
      <c r="K737" s="80"/>
      <c r="L737" s="155"/>
      <c r="M737" s="143"/>
    </row>
    <row r="738" ht="23.45" customHeight="1" spans="1:13">
      <c r="A738" s="107"/>
      <c r="B738" s="220"/>
      <c r="C738" s="75"/>
      <c r="D738" s="80">
        <v>2028</v>
      </c>
      <c r="E738" s="77">
        <f>F738+G738+H738+J738</f>
        <v>97180.4</v>
      </c>
      <c r="F738" s="86">
        <v>72010.6</v>
      </c>
      <c r="G738" s="87">
        <v>20310.7</v>
      </c>
      <c r="H738" s="87">
        <v>4859.1</v>
      </c>
      <c r="I738" s="110">
        <f>H738</f>
        <v>4859.1</v>
      </c>
      <c r="J738" s="77">
        <v>0</v>
      </c>
      <c r="K738" s="80"/>
      <c r="L738" s="155"/>
      <c r="M738" s="143"/>
    </row>
    <row r="739" ht="23.1" customHeight="1" spans="1:13">
      <c r="A739" s="107" t="s">
        <v>317</v>
      </c>
      <c r="B739" s="213" t="s">
        <v>318</v>
      </c>
      <c r="C739" s="75" t="e">
        <f>#REF!+#REF!+#REF!+#REF!+#REF!+#REF!+#REF!+#REF!</f>
        <v>#REF!</v>
      </c>
      <c r="D739" s="76">
        <v>2018</v>
      </c>
      <c r="E739" s="77">
        <f t="shared" si="69"/>
        <v>0</v>
      </c>
      <c r="F739" s="77">
        <v>0</v>
      </c>
      <c r="G739" s="77">
        <v>0</v>
      </c>
      <c r="H739" s="77">
        <v>0</v>
      </c>
      <c r="I739" s="77">
        <v>0</v>
      </c>
      <c r="J739" s="77">
        <v>0</v>
      </c>
      <c r="K739" s="80" t="s">
        <v>319</v>
      </c>
      <c r="L739" s="155" t="s">
        <v>211</v>
      </c>
      <c r="M739" s="143"/>
    </row>
    <row r="740" ht="23.1" customHeight="1" spans="1:13">
      <c r="A740" s="107"/>
      <c r="B740" s="213"/>
      <c r="C740" s="75"/>
      <c r="D740" s="76">
        <v>2019</v>
      </c>
      <c r="E740" s="77">
        <f t="shared" ref="E740:E822" si="77">F740+G740+H740+J740</f>
        <v>0</v>
      </c>
      <c r="F740" s="77">
        <v>0</v>
      </c>
      <c r="G740" s="77">
        <v>0</v>
      </c>
      <c r="H740" s="77">
        <v>0</v>
      </c>
      <c r="I740" s="77">
        <v>0</v>
      </c>
      <c r="J740" s="77">
        <v>0</v>
      </c>
      <c r="K740" s="80"/>
      <c r="L740" s="155"/>
      <c r="M740" s="143"/>
    </row>
    <row r="741" ht="23.1" customHeight="1" spans="1:13">
      <c r="A741" s="107"/>
      <c r="B741" s="213"/>
      <c r="C741" s="75"/>
      <c r="D741" s="80">
        <v>2020</v>
      </c>
      <c r="E741" s="77">
        <f t="shared" si="77"/>
        <v>15103.2</v>
      </c>
      <c r="F741" s="86">
        <v>15103.2</v>
      </c>
      <c r="G741" s="77">
        <v>0</v>
      </c>
      <c r="H741" s="77">
        <v>0</v>
      </c>
      <c r="I741" s="77">
        <v>0</v>
      </c>
      <c r="J741" s="77">
        <v>0</v>
      </c>
      <c r="K741" s="80"/>
      <c r="L741" s="155"/>
      <c r="M741" s="143"/>
    </row>
    <row r="742" ht="23.1" customHeight="1" spans="1:13">
      <c r="A742" s="107"/>
      <c r="B742" s="213"/>
      <c r="C742" s="75"/>
      <c r="D742" s="80">
        <v>2021</v>
      </c>
      <c r="E742" s="77">
        <f t="shared" si="77"/>
        <v>45309.6</v>
      </c>
      <c r="F742" s="86">
        <v>45309.6</v>
      </c>
      <c r="G742" s="77">
        <v>0</v>
      </c>
      <c r="H742" s="77">
        <v>0</v>
      </c>
      <c r="I742" s="77">
        <v>0</v>
      </c>
      <c r="J742" s="77">
        <v>0</v>
      </c>
      <c r="K742" s="80"/>
      <c r="L742" s="155"/>
      <c r="M742" s="143"/>
    </row>
    <row r="743" ht="23.1" customHeight="1" spans="1:13">
      <c r="A743" s="107"/>
      <c r="B743" s="213"/>
      <c r="C743" s="75"/>
      <c r="D743" s="80">
        <v>2022</v>
      </c>
      <c r="E743" s="77">
        <f t="shared" si="77"/>
        <v>45544</v>
      </c>
      <c r="F743" s="86">
        <f>41950.4+2968.6+625</f>
        <v>45544</v>
      </c>
      <c r="G743" s="77">
        <v>0</v>
      </c>
      <c r="H743" s="77">
        <v>0</v>
      </c>
      <c r="I743" s="77">
        <v>0</v>
      </c>
      <c r="J743" s="77">
        <v>0</v>
      </c>
      <c r="K743" s="80"/>
      <c r="L743" s="155"/>
      <c r="M743" s="143"/>
    </row>
    <row r="744" ht="23.1" customHeight="1" spans="1:13">
      <c r="A744" s="107"/>
      <c r="B744" s="213"/>
      <c r="C744" s="75"/>
      <c r="D744" s="80">
        <v>2023</v>
      </c>
      <c r="E744" s="77">
        <f t="shared" si="77"/>
        <v>45856.4</v>
      </c>
      <c r="F744" s="86">
        <f>44997.1+859.3</f>
        <v>45856.4</v>
      </c>
      <c r="G744" s="77">
        <v>0</v>
      </c>
      <c r="H744" s="77">
        <v>0</v>
      </c>
      <c r="I744" s="77">
        <v>0</v>
      </c>
      <c r="J744" s="77">
        <v>0</v>
      </c>
      <c r="K744" s="80"/>
      <c r="L744" s="155"/>
      <c r="M744" s="143"/>
    </row>
    <row r="745" ht="23.1" customHeight="1" spans="1:13">
      <c r="A745" s="107"/>
      <c r="B745" s="213"/>
      <c r="C745" s="75"/>
      <c r="D745" s="80">
        <v>2024</v>
      </c>
      <c r="E745" s="77">
        <f t="shared" si="77"/>
        <v>80060</v>
      </c>
      <c r="F745" s="86">
        <f>44919+6999.1+786.9+28228.1+2850.6-3723.7</f>
        <v>80060</v>
      </c>
      <c r="G745" s="77">
        <v>0</v>
      </c>
      <c r="H745" s="77">
        <v>0</v>
      </c>
      <c r="I745" s="77">
        <v>0</v>
      </c>
      <c r="J745" s="77">
        <v>0</v>
      </c>
      <c r="K745" s="80"/>
      <c r="L745" s="155"/>
      <c r="M745" s="143"/>
    </row>
    <row r="746" ht="23.1" customHeight="1" spans="1:13">
      <c r="A746" s="107"/>
      <c r="B746" s="213"/>
      <c r="C746" s="75"/>
      <c r="D746" s="80">
        <v>2025</v>
      </c>
      <c r="E746" s="77">
        <f t="shared" si="77"/>
        <v>94316.9</v>
      </c>
      <c r="F746" s="86">
        <f>90447.3+3869.6</f>
        <v>94316.9</v>
      </c>
      <c r="G746" s="77">
        <v>0</v>
      </c>
      <c r="H746" s="77">
        <v>0</v>
      </c>
      <c r="I746" s="77">
        <v>0</v>
      </c>
      <c r="J746" s="77">
        <v>0</v>
      </c>
      <c r="K746" s="80"/>
      <c r="L746" s="155"/>
      <c r="M746" s="143"/>
    </row>
    <row r="747" ht="23.1" customHeight="1" spans="1:13">
      <c r="A747" s="107"/>
      <c r="B747" s="213"/>
      <c r="C747" s="75"/>
      <c r="D747" s="80">
        <v>2026</v>
      </c>
      <c r="E747" s="77">
        <f t="shared" ref="E747" si="78">F747+G747+H747+J747</f>
        <v>90444.2</v>
      </c>
      <c r="F747" s="86">
        <v>90444.2</v>
      </c>
      <c r="G747" s="77">
        <v>0</v>
      </c>
      <c r="H747" s="77">
        <v>0</v>
      </c>
      <c r="I747" s="77">
        <v>0</v>
      </c>
      <c r="J747" s="77">
        <v>0</v>
      </c>
      <c r="K747" s="80"/>
      <c r="L747" s="155"/>
      <c r="M747" s="143"/>
    </row>
    <row r="748" ht="23.1" customHeight="1" spans="1:13">
      <c r="A748" s="107"/>
      <c r="B748" s="213"/>
      <c r="C748" s="75"/>
      <c r="D748" s="80">
        <v>2027</v>
      </c>
      <c r="E748" s="77">
        <f t="shared" si="77"/>
        <v>90444.2</v>
      </c>
      <c r="F748" s="86">
        <v>90444.2</v>
      </c>
      <c r="G748" s="77">
        <v>0</v>
      </c>
      <c r="H748" s="77">
        <v>0</v>
      </c>
      <c r="I748" s="77">
        <v>0</v>
      </c>
      <c r="J748" s="77">
        <v>0</v>
      </c>
      <c r="K748" s="80"/>
      <c r="L748" s="155"/>
      <c r="M748" s="143"/>
    </row>
    <row r="749" s="23" customFormat="1" ht="23.1" customHeight="1" spans="1:13">
      <c r="A749" s="107"/>
      <c r="B749" s="213"/>
      <c r="C749" s="75"/>
      <c r="D749" s="80">
        <v>2028</v>
      </c>
      <c r="E749" s="77">
        <f>F749</f>
        <v>90444.2</v>
      </c>
      <c r="F749" s="86">
        <v>90444.2</v>
      </c>
      <c r="G749" s="77">
        <v>0</v>
      </c>
      <c r="H749" s="77">
        <v>0</v>
      </c>
      <c r="I749" s="77">
        <v>0</v>
      </c>
      <c r="J749" s="77">
        <v>0</v>
      </c>
      <c r="K749" s="80"/>
      <c r="L749" s="155"/>
      <c r="M749" s="194"/>
    </row>
    <row r="750" ht="27.95" customHeight="1" spans="1:13">
      <c r="A750" s="107" t="s">
        <v>320</v>
      </c>
      <c r="B750" s="214" t="s">
        <v>321</v>
      </c>
      <c r="C750" s="75" t="e">
        <f>#REF!+#REF!+#REF!+#REF!+#REF!+#REF!+#REF!+#REF!</f>
        <v>#REF!</v>
      </c>
      <c r="D750" s="181">
        <v>2018</v>
      </c>
      <c r="E750" s="88">
        <f t="shared" si="77"/>
        <v>0</v>
      </c>
      <c r="F750" s="88">
        <v>0</v>
      </c>
      <c r="G750" s="88">
        <v>0</v>
      </c>
      <c r="H750" s="88">
        <v>0</v>
      </c>
      <c r="I750" s="88">
        <v>0</v>
      </c>
      <c r="J750" s="88">
        <v>0</v>
      </c>
      <c r="K750" s="80" t="s">
        <v>322</v>
      </c>
      <c r="L750" s="155" t="s">
        <v>211</v>
      </c>
      <c r="M750" s="143"/>
    </row>
    <row r="751" ht="27.95" customHeight="1" spans="1:13">
      <c r="A751" s="107"/>
      <c r="B751" s="214"/>
      <c r="C751" s="75"/>
      <c r="D751" s="76">
        <v>2019</v>
      </c>
      <c r="E751" s="77">
        <f t="shared" si="77"/>
        <v>0</v>
      </c>
      <c r="F751" s="77">
        <v>0</v>
      </c>
      <c r="G751" s="77">
        <v>0</v>
      </c>
      <c r="H751" s="77">
        <v>0</v>
      </c>
      <c r="I751" s="77">
        <v>0</v>
      </c>
      <c r="J751" s="77">
        <v>0</v>
      </c>
      <c r="K751" s="80"/>
      <c r="L751" s="155"/>
      <c r="M751" s="143"/>
    </row>
    <row r="752" ht="27.95" customHeight="1" spans="1:13">
      <c r="A752" s="107"/>
      <c r="B752" s="214"/>
      <c r="C752" s="75"/>
      <c r="D752" s="80">
        <v>2020</v>
      </c>
      <c r="E752" s="77">
        <f t="shared" si="77"/>
        <v>3076.5</v>
      </c>
      <c r="F752" s="86">
        <v>0</v>
      </c>
      <c r="G752" s="77">
        <v>2976.5</v>
      </c>
      <c r="H752" s="77">
        <v>100</v>
      </c>
      <c r="I752" s="77">
        <v>100</v>
      </c>
      <c r="J752" s="77">
        <v>0</v>
      </c>
      <c r="K752" s="80"/>
      <c r="L752" s="155"/>
      <c r="M752" s="143"/>
    </row>
    <row r="753" ht="27.95" customHeight="1" spans="1:13">
      <c r="A753" s="107"/>
      <c r="B753" s="214"/>
      <c r="C753" s="75"/>
      <c r="D753" s="80">
        <v>2021</v>
      </c>
      <c r="E753" s="77">
        <f t="shared" si="77"/>
        <v>0</v>
      </c>
      <c r="F753" s="86">
        <v>0</v>
      </c>
      <c r="G753" s="77">
        <v>0</v>
      </c>
      <c r="H753" s="77">
        <v>0</v>
      </c>
      <c r="I753" s="77">
        <v>0</v>
      </c>
      <c r="J753" s="77">
        <v>0</v>
      </c>
      <c r="K753" s="80"/>
      <c r="L753" s="155"/>
      <c r="M753" s="143"/>
    </row>
    <row r="754" ht="27.95" customHeight="1" spans="1:13">
      <c r="A754" s="107"/>
      <c r="B754" s="214"/>
      <c r="C754" s="75"/>
      <c r="D754" s="80">
        <v>2022</v>
      </c>
      <c r="E754" s="77">
        <f t="shared" si="77"/>
        <v>0</v>
      </c>
      <c r="F754" s="86">
        <v>0</v>
      </c>
      <c r="G754" s="77">
        <v>0</v>
      </c>
      <c r="H754" s="77">
        <v>0</v>
      </c>
      <c r="I754" s="77">
        <v>0</v>
      </c>
      <c r="J754" s="77">
        <v>0</v>
      </c>
      <c r="K754" s="80"/>
      <c r="L754" s="155"/>
      <c r="M754" s="143"/>
    </row>
    <row r="755" ht="27.95" customHeight="1" spans="1:13">
      <c r="A755" s="107"/>
      <c r="B755" s="214"/>
      <c r="C755" s="75"/>
      <c r="D755" s="80">
        <v>2023</v>
      </c>
      <c r="E755" s="77">
        <f t="shared" si="77"/>
        <v>0</v>
      </c>
      <c r="F755" s="86">
        <v>0</v>
      </c>
      <c r="G755" s="77">
        <v>0</v>
      </c>
      <c r="H755" s="77">
        <v>0</v>
      </c>
      <c r="I755" s="77">
        <v>0</v>
      </c>
      <c r="J755" s="77">
        <v>0</v>
      </c>
      <c r="K755" s="80"/>
      <c r="L755" s="155"/>
      <c r="M755" s="143"/>
    </row>
    <row r="756" ht="27.95" customHeight="1" spans="1:13">
      <c r="A756" s="107"/>
      <c r="B756" s="214"/>
      <c r="C756" s="75"/>
      <c r="D756" s="80">
        <v>2024</v>
      </c>
      <c r="E756" s="77">
        <f t="shared" si="77"/>
        <v>0</v>
      </c>
      <c r="F756" s="86">
        <v>0</v>
      </c>
      <c r="G756" s="77">
        <v>0</v>
      </c>
      <c r="H756" s="77">
        <v>0</v>
      </c>
      <c r="I756" s="77">
        <v>0</v>
      </c>
      <c r="J756" s="77">
        <v>0</v>
      </c>
      <c r="K756" s="80"/>
      <c r="L756" s="155"/>
      <c r="M756" s="143"/>
    </row>
    <row r="757" ht="27.95" customHeight="1" spans="1:13">
      <c r="A757" s="107"/>
      <c r="B757" s="214"/>
      <c r="C757" s="75"/>
      <c r="D757" s="80">
        <v>2025</v>
      </c>
      <c r="E757" s="77">
        <f t="shared" si="77"/>
        <v>0</v>
      </c>
      <c r="F757" s="86">
        <v>0</v>
      </c>
      <c r="G757" s="77">
        <v>0</v>
      </c>
      <c r="H757" s="77">
        <v>0</v>
      </c>
      <c r="I757" s="77">
        <v>0</v>
      </c>
      <c r="J757" s="77">
        <v>0</v>
      </c>
      <c r="K757" s="80"/>
      <c r="L757" s="155"/>
      <c r="M757" s="143"/>
    </row>
    <row r="758" ht="27.95" customHeight="1" spans="1:13">
      <c r="A758" s="107"/>
      <c r="B758" s="214"/>
      <c r="C758" s="75"/>
      <c r="D758" s="80">
        <v>2026</v>
      </c>
      <c r="E758" s="77">
        <f t="shared" ref="E758" si="79">F758+G758+H758+J758</f>
        <v>0</v>
      </c>
      <c r="F758" s="86">
        <v>0</v>
      </c>
      <c r="G758" s="77">
        <v>0</v>
      </c>
      <c r="H758" s="77">
        <v>0</v>
      </c>
      <c r="I758" s="77">
        <v>0</v>
      </c>
      <c r="J758" s="77">
        <v>0</v>
      </c>
      <c r="K758" s="80"/>
      <c r="L758" s="155"/>
      <c r="M758" s="143"/>
    </row>
    <row r="759" ht="27.95" customHeight="1" spans="1:13">
      <c r="A759" s="107"/>
      <c r="B759" s="214"/>
      <c r="C759" s="75"/>
      <c r="D759" s="80">
        <v>2027</v>
      </c>
      <c r="E759" s="77">
        <f t="shared" si="77"/>
        <v>0</v>
      </c>
      <c r="F759" s="86">
        <v>0</v>
      </c>
      <c r="G759" s="77">
        <v>0</v>
      </c>
      <c r="H759" s="77">
        <v>0</v>
      </c>
      <c r="I759" s="77">
        <v>0</v>
      </c>
      <c r="J759" s="77">
        <v>0</v>
      </c>
      <c r="K759" s="80"/>
      <c r="L759" s="155"/>
      <c r="M759" s="143"/>
    </row>
    <row r="760" ht="69" customHeight="1" spans="1:13">
      <c r="A760" s="107"/>
      <c r="B760" s="214"/>
      <c r="C760" s="75"/>
      <c r="D760" s="80">
        <v>2028</v>
      </c>
      <c r="E760" s="77">
        <v>0</v>
      </c>
      <c r="F760" s="86">
        <v>0</v>
      </c>
      <c r="G760" s="77">
        <v>0</v>
      </c>
      <c r="H760" s="77">
        <v>0</v>
      </c>
      <c r="I760" s="77">
        <v>0</v>
      </c>
      <c r="J760" s="77">
        <v>0</v>
      </c>
      <c r="K760" s="80"/>
      <c r="L760" s="155"/>
      <c r="M760" s="143"/>
    </row>
    <row r="761" ht="20.45" customHeight="1" spans="1:13">
      <c r="A761" s="107" t="s">
        <v>323</v>
      </c>
      <c r="B761" s="213" t="s">
        <v>324</v>
      </c>
      <c r="C761" s="75" t="e">
        <f>#REF!+#REF!+#REF!+#REF!+#REF!+#REF!+#REF!+#REF!</f>
        <v>#REF!</v>
      </c>
      <c r="D761" s="76">
        <v>2018</v>
      </c>
      <c r="E761" s="77">
        <f t="shared" si="77"/>
        <v>0</v>
      </c>
      <c r="F761" s="77">
        <v>0</v>
      </c>
      <c r="G761" s="77">
        <v>0</v>
      </c>
      <c r="H761" s="77">
        <v>0</v>
      </c>
      <c r="I761" s="77">
        <v>0</v>
      </c>
      <c r="J761" s="77">
        <v>0</v>
      </c>
      <c r="K761" s="80" t="s">
        <v>325</v>
      </c>
      <c r="L761" s="155" t="s">
        <v>35</v>
      </c>
      <c r="M761" s="143"/>
    </row>
    <row r="762" ht="20.45" customHeight="1" spans="1:13">
      <c r="A762" s="107"/>
      <c r="B762" s="213"/>
      <c r="C762" s="75"/>
      <c r="D762" s="76">
        <v>2019</v>
      </c>
      <c r="E762" s="77">
        <f t="shared" si="77"/>
        <v>0</v>
      </c>
      <c r="F762" s="77">
        <v>0</v>
      </c>
      <c r="G762" s="77">
        <v>0</v>
      </c>
      <c r="H762" s="77">
        <v>0</v>
      </c>
      <c r="I762" s="77">
        <v>0</v>
      </c>
      <c r="J762" s="77">
        <v>0</v>
      </c>
      <c r="K762" s="80"/>
      <c r="L762" s="155"/>
      <c r="M762" s="143"/>
    </row>
    <row r="763" ht="20.45" customHeight="1" spans="1:13">
      <c r="A763" s="107"/>
      <c r="B763" s="213"/>
      <c r="C763" s="75"/>
      <c r="D763" s="80">
        <v>2020</v>
      </c>
      <c r="E763" s="77">
        <f t="shared" si="77"/>
        <v>862.3</v>
      </c>
      <c r="F763" s="86">
        <v>0</v>
      </c>
      <c r="G763" s="77">
        <v>0</v>
      </c>
      <c r="H763" s="77">
        <v>862.3</v>
      </c>
      <c r="I763" s="77">
        <v>0</v>
      </c>
      <c r="J763" s="77">
        <v>0</v>
      </c>
      <c r="K763" s="80"/>
      <c r="L763" s="155"/>
      <c r="M763" s="143"/>
    </row>
    <row r="764" ht="20.45" customHeight="1" spans="1:13">
      <c r="A764" s="107"/>
      <c r="B764" s="213"/>
      <c r="C764" s="75"/>
      <c r="D764" s="80">
        <v>2021</v>
      </c>
      <c r="E764" s="77">
        <f t="shared" si="77"/>
        <v>2321.5</v>
      </c>
      <c r="F764" s="86">
        <v>0</v>
      </c>
      <c r="G764" s="77">
        <v>0</v>
      </c>
      <c r="H764" s="77">
        <v>2321.5</v>
      </c>
      <c r="I764" s="77">
        <v>0</v>
      </c>
      <c r="J764" s="77">
        <v>0</v>
      </c>
      <c r="K764" s="80"/>
      <c r="L764" s="155"/>
      <c r="M764" s="143"/>
    </row>
    <row r="765" ht="20.45" customHeight="1" spans="1:13">
      <c r="A765" s="107"/>
      <c r="B765" s="213"/>
      <c r="C765" s="75"/>
      <c r="D765" s="80">
        <v>2022</v>
      </c>
      <c r="E765" s="77">
        <f t="shared" si="77"/>
        <v>1262.1</v>
      </c>
      <c r="F765" s="86">
        <v>0</v>
      </c>
      <c r="G765" s="77">
        <v>0</v>
      </c>
      <c r="H765" s="77">
        <v>1262.1</v>
      </c>
      <c r="I765" s="77">
        <v>0</v>
      </c>
      <c r="J765" s="77">
        <v>0</v>
      </c>
      <c r="K765" s="80"/>
      <c r="L765" s="155"/>
      <c r="M765" s="143"/>
    </row>
    <row r="766" ht="20.45" customHeight="1" spans="1:13">
      <c r="A766" s="107"/>
      <c r="B766" s="213"/>
      <c r="C766" s="75"/>
      <c r="D766" s="80">
        <v>2023</v>
      </c>
      <c r="E766" s="77">
        <f t="shared" si="77"/>
        <v>5936.7</v>
      </c>
      <c r="F766" s="86">
        <v>0</v>
      </c>
      <c r="G766" s="77">
        <v>0</v>
      </c>
      <c r="H766" s="77">
        <f>1891.4+2567.8+1260.1+69.5+147.9</f>
        <v>5936.7</v>
      </c>
      <c r="I766" s="77">
        <v>0</v>
      </c>
      <c r="J766" s="77">
        <v>0</v>
      </c>
      <c r="K766" s="80"/>
      <c r="L766" s="155"/>
      <c r="M766" s="143"/>
    </row>
    <row r="767" ht="20.45" customHeight="1" spans="1:13">
      <c r="A767" s="107"/>
      <c r="B767" s="213"/>
      <c r="C767" s="75"/>
      <c r="D767" s="80">
        <v>2024</v>
      </c>
      <c r="E767" s="77">
        <f t="shared" si="77"/>
        <v>10122.8</v>
      </c>
      <c r="F767" s="86">
        <v>0</v>
      </c>
      <c r="G767" s="77">
        <v>0</v>
      </c>
      <c r="H767" s="87">
        <f>712.7+179.1+1295.6-30+1913.4-314+2243.4+3903.8+218.8</f>
        <v>10122.8</v>
      </c>
      <c r="I767" s="77">
        <v>0</v>
      </c>
      <c r="J767" s="77">
        <v>0</v>
      </c>
      <c r="K767" s="80"/>
      <c r="L767" s="155"/>
      <c r="M767" s="143"/>
    </row>
    <row r="768" ht="20.45" customHeight="1" spans="1:13">
      <c r="A768" s="107"/>
      <c r="B768" s="213"/>
      <c r="C768" s="75"/>
      <c r="D768" s="80">
        <v>2025</v>
      </c>
      <c r="E768" s="77">
        <f t="shared" si="77"/>
        <v>6890.8</v>
      </c>
      <c r="F768" s="86">
        <v>0</v>
      </c>
      <c r="G768" s="77">
        <v>0</v>
      </c>
      <c r="H768" s="87">
        <f>305.5+223.6+3594.2+54.2+2186.1+527.2</f>
        <v>6890.8</v>
      </c>
      <c r="I768" s="77">
        <v>0</v>
      </c>
      <c r="J768" s="77">
        <v>0</v>
      </c>
      <c r="K768" s="80"/>
      <c r="L768" s="155"/>
      <c r="M768" s="143"/>
    </row>
    <row r="769" ht="20.45" customHeight="1" spans="1:13">
      <c r="A769" s="107"/>
      <c r="B769" s="213"/>
      <c r="C769" s="75"/>
      <c r="D769" s="80">
        <v>2026</v>
      </c>
      <c r="E769" s="77">
        <f t="shared" ref="E769" si="80">F769+G769+H769+J769</f>
        <v>152.9</v>
      </c>
      <c r="F769" s="86">
        <v>0</v>
      </c>
      <c r="G769" s="77">
        <v>0</v>
      </c>
      <c r="H769" s="87">
        <v>152.9</v>
      </c>
      <c r="I769" s="77">
        <v>0</v>
      </c>
      <c r="J769" s="77">
        <v>0</v>
      </c>
      <c r="K769" s="80"/>
      <c r="L769" s="155"/>
      <c r="M769" s="143"/>
    </row>
    <row r="770" ht="20.45" customHeight="1" spans="1:13">
      <c r="A770" s="107"/>
      <c r="B770" s="213"/>
      <c r="C770" s="75"/>
      <c r="D770" s="80">
        <v>2027</v>
      </c>
      <c r="E770" s="77">
        <f t="shared" si="77"/>
        <v>0</v>
      </c>
      <c r="F770" s="86">
        <v>0</v>
      </c>
      <c r="G770" s="77">
        <v>0</v>
      </c>
      <c r="H770" s="87">
        <v>0</v>
      </c>
      <c r="I770" s="77">
        <v>0</v>
      </c>
      <c r="J770" s="77">
        <v>0</v>
      </c>
      <c r="K770" s="80"/>
      <c r="L770" s="155"/>
      <c r="M770" s="143"/>
    </row>
    <row r="771" ht="20.45" customHeight="1" spans="1:13">
      <c r="A771" s="107"/>
      <c r="B771" s="213"/>
      <c r="C771" s="75"/>
      <c r="D771" s="80">
        <v>2028</v>
      </c>
      <c r="E771" s="77">
        <v>0</v>
      </c>
      <c r="F771" s="86">
        <v>0</v>
      </c>
      <c r="G771" s="77">
        <v>0</v>
      </c>
      <c r="H771" s="87">
        <v>0</v>
      </c>
      <c r="I771" s="77">
        <v>0</v>
      </c>
      <c r="J771" s="77">
        <v>0</v>
      </c>
      <c r="K771" s="80"/>
      <c r="L771" s="155"/>
      <c r="M771" s="143"/>
    </row>
    <row r="772" ht="18.2" customHeight="1" spans="1:13">
      <c r="A772" s="107" t="s">
        <v>326</v>
      </c>
      <c r="B772" s="213" t="s">
        <v>327</v>
      </c>
      <c r="C772" s="75" t="e">
        <f>#REF!+#REF!+#REF!+#REF!+#REF!+#REF!+#REF!+#REF!</f>
        <v>#REF!</v>
      </c>
      <c r="D772" s="76">
        <v>2018</v>
      </c>
      <c r="E772" s="77">
        <f t="shared" si="77"/>
        <v>0</v>
      </c>
      <c r="F772" s="77">
        <v>0</v>
      </c>
      <c r="G772" s="77">
        <v>0</v>
      </c>
      <c r="H772" s="77">
        <v>0</v>
      </c>
      <c r="I772" s="77">
        <v>0</v>
      </c>
      <c r="J772" s="77">
        <v>0</v>
      </c>
      <c r="K772" s="80" t="s">
        <v>328</v>
      </c>
      <c r="L772" s="155" t="s">
        <v>35</v>
      </c>
      <c r="M772" s="143"/>
    </row>
    <row r="773" ht="18.2" customHeight="1" spans="1:13">
      <c r="A773" s="107"/>
      <c r="B773" s="213"/>
      <c r="C773" s="75"/>
      <c r="D773" s="76">
        <v>2019</v>
      </c>
      <c r="E773" s="77">
        <f t="shared" si="77"/>
        <v>0</v>
      </c>
      <c r="F773" s="77">
        <v>0</v>
      </c>
      <c r="G773" s="77">
        <v>0</v>
      </c>
      <c r="H773" s="77">
        <v>0</v>
      </c>
      <c r="I773" s="77">
        <v>0</v>
      </c>
      <c r="J773" s="77">
        <v>0</v>
      </c>
      <c r="K773" s="80"/>
      <c r="L773" s="155"/>
      <c r="M773" s="143"/>
    </row>
    <row r="774" ht="18.2" customHeight="1" spans="1:13">
      <c r="A774" s="107"/>
      <c r="B774" s="213"/>
      <c r="C774" s="75"/>
      <c r="D774" s="80">
        <v>2020</v>
      </c>
      <c r="E774" s="77">
        <f t="shared" si="77"/>
        <v>0</v>
      </c>
      <c r="F774" s="86">
        <v>0</v>
      </c>
      <c r="G774" s="77">
        <v>0</v>
      </c>
      <c r="H774" s="77">
        <v>0</v>
      </c>
      <c r="I774" s="77">
        <v>0</v>
      </c>
      <c r="J774" s="77">
        <v>0</v>
      </c>
      <c r="K774" s="80"/>
      <c r="L774" s="155"/>
      <c r="M774" s="143"/>
    </row>
    <row r="775" ht="18.2" customHeight="1" spans="1:13">
      <c r="A775" s="107"/>
      <c r="B775" s="213"/>
      <c r="C775" s="75"/>
      <c r="D775" s="80">
        <v>2021</v>
      </c>
      <c r="E775" s="77">
        <f t="shared" si="77"/>
        <v>4189.5</v>
      </c>
      <c r="F775" s="86">
        <v>0</v>
      </c>
      <c r="G775" s="77">
        <v>0</v>
      </c>
      <c r="H775" s="77">
        <v>4189.5</v>
      </c>
      <c r="I775" s="77">
        <v>0</v>
      </c>
      <c r="J775" s="77">
        <v>0</v>
      </c>
      <c r="K775" s="80"/>
      <c r="L775" s="155"/>
      <c r="M775" s="143"/>
    </row>
    <row r="776" ht="18.2" customHeight="1" spans="1:13">
      <c r="A776" s="107"/>
      <c r="B776" s="213"/>
      <c r="C776" s="75"/>
      <c r="D776" s="80">
        <v>2022</v>
      </c>
      <c r="E776" s="77">
        <f t="shared" si="77"/>
        <v>0</v>
      </c>
      <c r="F776" s="86">
        <v>0</v>
      </c>
      <c r="G776" s="77">
        <v>0</v>
      </c>
      <c r="H776" s="77">
        <v>0</v>
      </c>
      <c r="I776" s="77">
        <v>0</v>
      </c>
      <c r="J776" s="77">
        <v>0</v>
      </c>
      <c r="K776" s="80"/>
      <c r="L776" s="155"/>
      <c r="M776" s="143"/>
    </row>
    <row r="777" ht="18.2" customHeight="1" spans="1:13">
      <c r="A777" s="107"/>
      <c r="B777" s="213"/>
      <c r="C777" s="75"/>
      <c r="D777" s="80">
        <v>2023</v>
      </c>
      <c r="E777" s="77">
        <f t="shared" si="77"/>
        <v>0</v>
      </c>
      <c r="F777" s="86">
        <v>0</v>
      </c>
      <c r="G777" s="77">
        <v>0</v>
      </c>
      <c r="H777" s="77">
        <v>0</v>
      </c>
      <c r="I777" s="77">
        <v>0</v>
      </c>
      <c r="J777" s="77">
        <v>0</v>
      </c>
      <c r="K777" s="80"/>
      <c r="L777" s="155"/>
      <c r="M777" s="143"/>
    </row>
    <row r="778" ht="18.2" customHeight="1" spans="1:13">
      <c r="A778" s="107"/>
      <c r="B778" s="213"/>
      <c r="C778" s="75"/>
      <c r="D778" s="80">
        <v>2024</v>
      </c>
      <c r="E778" s="77">
        <f t="shared" si="77"/>
        <v>0</v>
      </c>
      <c r="F778" s="86">
        <v>0</v>
      </c>
      <c r="G778" s="77">
        <v>0</v>
      </c>
      <c r="H778" s="77">
        <v>0</v>
      </c>
      <c r="I778" s="77">
        <v>0</v>
      </c>
      <c r="J778" s="77">
        <v>0</v>
      </c>
      <c r="K778" s="80"/>
      <c r="L778" s="155"/>
      <c r="M778" s="143"/>
    </row>
    <row r="779" ht="18.2" customHeight="1" spans="1:13">
      <c r="A779" s="107"/>
      <c r="B779" s="213"/>
      <c r="C779" s="75"/>
      <c r="D779" s="80">
        <v>2025</v>
      </c>
      <c r="E779" s="77">
        <f t="shared" si="77"/>
        <v>0</v>
      </c>
      <c r="F779" s="86">
        <v>0</v>
      </c>
      <c r="G779" s="77">
        <v>0</v>
      </c>
      <c r="H779" s="77">
        <v>0</v>
      </c>
      <c r="I779" s="77">
        <v>0</v>
      </c>
      <c r="J779" s="77">
        <v>0</v>
      </c>
      <c r="K779" s="80"/>
      <c r="L779" s="155"/>
      <c r="M779" s="143"/>
    </row>
    <row r="780" ht="18.2" customHeight="1" spans="1:13">
      <c r="A780" s="107"/>
      <c r="B780" s="213"/>
      <c r="C780" s="75"/>
      <c r="D780" s="80">
        <v>2026</v>
      </c>
      <c r="E780" s="77">
        <f t="shared" ref="E780" si="81">F780+G780+H780+J780</f>
        <v>0</v>
      </c>
      <c r="F780" s="86">
        <v>0</v>
      </c>
      <c r="G780" s="77">
        <v>0</v>
      </c>
      <c r="H780" s="77">
        <v>0</v>
      </c>
      <c r="I780" s="77">
        <v>0</v>
      </c>
      <c r="J780" s="77">
        <v>0</v>
      </c>
      <c r="K780" s="80"/>
      <c r="L780" s="155"/>
      <c r="M780" s="143"/>
    </row>
    <row r="781" ht="18.2" customHeight="1" spans="1:13">
      <c r="A781" s="107"/>
      <c r="B781" s="213"/>
      <c r="C781" s="75"/>
      <c r="D781" s="80">
        <v>2027</v>
      </c>
      <c r="E781" s="77">
        <f t="shared" si="77"/>
        <v>0</v>
      </c>
      <c r="F781" s="86">
        <v>0</v>
      </c>
      <c r="G781" s="77">
        <v>0</v>
      </c>
      <c r="H781" s="77">
        <v>0</v>
      </c>
      <c r="I781" s="77">
        <v>0</v>
      </c>
      <c r="J781" s="77">
        <v>0</v>
      </c>
      <c r="K781" s="80"/>
      <c r="L781" s="155"/>
      <c r="M781" s="143"/>
    </row>
    <row r="782" ht="18.2" customHeight="1" spans="1:13">
      <c r="A782" s="107"/>
      <c r="B782" s="213"/>
      <c r="C782" s="75"/>
      <c r="D782" s="80">
        <v>2028</v>
      </c>
      <c r="E782" s="77">
        <v>0</v>
      </c>
      <c r="F782" s="86">
        <v>0</v>
      </c>
      <c r="G782" s="77">
        <v>0</v>
      </c>
      <c r="H782" s="77">
        <v>0</v>
      </c>
      <c r="I782" s="77">
        <v>0</v>
      </c>
      <c r="J782" s="77">
        <v>0</v>
      </c>
      <c r="K782" s="80"/>
      <c r="L782" s="155"/>
      <c r="M782" s="143"/>
    </row>
    <row r="783" ht="24.75" customHeight="1" spans="1:13">
      <c r="A783" s="107" t="s">
        <v>329</v>
      </c>
      <c r="B783" s="213" t="s">
        <v>330</v>
      </c>
      <c r="C783" s="75" t="e">
        <f>#REF!+#REF!+#REF!+#REF!+#REF!+#REF!+#REF!+#REF!</f>
        <v>#REF!</v>
      </c>
      <c r="D783" s="76">
        <v>2018</v>
      </c>
      <c r="E783" s="77">
        <f t="shared" si="77"/>
        <v>0</v>
      </c>
      <c r="F783" s="77">
        <v>0</v>
      </c>
      <c r="G783" s="77">
        <v>0</v>
      </c>
      <c r="H783" s="77">
        <v>0</v>
      </c>
      <c r="I783" s="77">
        <v>0</v>
      </c>
      <c r="J783" s="77">
        <v>0</v>
      </c>
      <c r="K783" s="80" t="s">
        <v>331</v>
      </c>
      <c r="L783" s="155" t="s">
        <v>35</v>
      </c>
      <c r="M783" s="143"/>
    </row>
    <row r="784" ht="26.25" customHeight="1" spans="1:13">
      <c r="A784" s="107"/>
      <c r="B784" s="213"/>
      <c r="C784" s="75"/>
      <c r="D784" s="76">
        <v>2019</v>
      </c>
      <c r="E784" s="77">
        <f t="shared" si="77"/>
        <v>0</v>
      </c>
      <c r="F784" s="77">
        <v>0</v>
      </c>
      <c r="G784" s="77">
        <v>0</v>
      </c>
      <c r="H784" s="77">
        <v>0</v>
      </c>
      <c r="I784" s="77">
        <v>0</v>
      </c>
      <c r="J784" s="77">
        <v>0</v>
      </c>
      <c r="K784" s="80"/>
      <c r="L784" s="155"/>
      <c r="M784" s="143"/>
    </row>
    <row r="785" ht="24" customHeight="1" spans="1:13">
      <c r="A785" s="107"/>
      <c r="B785" s="213"/>
      <c r="C785" s="75"/>
      <c r="D785" s="80">
        <v>2020</v>
      </c>
      <c r="E785" s="77">
        <f t="shared" si="77"/>
        <v>0</v>
      </c>
      <c r="F785" s="86">
        <v>0</v>
      </c>
      <c r="G785" s="77">
        <v>0</v>
      </c>
      <c r="H785" s="77">
        <v>0</v>
      </c>
      <c r="I785" s="77">
        <v>0</v>
      </c>
      <c r="J785" s="77">
        <v>0</v>
      </c>
      <c r="K785" s="80"/>
      <c r="L785" s="155"/>
      <c r="M785" s="143"/>
    </row>
    <row r="786" ht="26.25" customHeight="1" spans="1:13">
      <c r="A786" s="107"/>
      <c r="B786" s="213"/>
      <c r="C786" s="75"/>
      <c r="D786" s="80">
        <v>2021</v>
      </c>
      <c r="E786" s="77">
        <f t="shared" si="77"/>
        <v>0</v>
      </c>
      <c r="F786" s="86">
        <v>0</v>
      </c>
      <c r="G786" s="77">
        <v>0</v>
      </c>
      <c r="H786" s="77">
        <v>0</v>
      </c>
      <c r="I786" s="77">
        <v>0</v>
      </c>
      <c r="J786" s="77">
        <v>0</v>
      </c>
      <c r="K786" s="80"/>
      <c r="L786" s="155"/>
      <c r="M786" s="143"/>
    </row>
    <row r="787" ht="21.95" customHeight="1" spans="1:13">
      <c r="A787" s="107"/>
      <c r="B787" s="213"/>
      <c r="C787" s="75"/>
      <c r="D787" s="80">
        <v>2022</v>
      </c>
      <c r="E787" s="77">
        <f t="shared" si="77"/>
        <v>2671.6</v>
      </c>
      <c r="F787" s="86">
        <v>0</v>
      </c>
      <c r="G787" s="77">
        <v>0</v>
      </c>
      <c r="H787" s="77">
        <f>3127.6-350-36-70</f>
        <v>2671.6</v>
      </c>
      <c r="I787" s="77">
        <v>0</v>
      </c>
      <c r="J787" s="77">
        <v>0</v>
      </c>
      <c r="K787" s="80"/>
      <c r="L787" s="155"/>
      <c r="M787" s="143"/>
    </row>
    <row r="788" ht="51" customHeight="1" spans="1:13">
      <c r="A788" s="107"/>
      <c r="B788" s="213"/>
      <c r="C788" s="75"/>
      <c r="D788" s="80">
        <v>2023</v>
      </c>
      <c r="E788" s="77">
        <f t="shared" si="77"/>
        <v>3014.1</v>
      </c>
      <c r="F788" s="86">
        <v>0</v>
      </c>
      <c r="G788" s="77">
        <v>0</v>
      </c>
      <c r="H788" s="77">
        <f>2000+75.8+693.3+245</f>
        <v>3014.1</v>
      </c>
      <c r="I788" s="77">
        <v>0</v>
      </c>
      <c r="J788" s="77">
        <v>0</v>
      </c>
      <c r="K788" s="80"/>
      <c r="L788" s="155"/>
      <c r="M788" s="143"/>
    </row>
    <row r="789" ht="21.95" customHeight="1" spans="1:13">
      <c r="A789" s="107"/>
      <c r="B789" s="213" t="s">
        <v>332</v>
      </c>
      <c r="C789" s="75"/>
      <c r="D789" s="80">
        <v>2024</v>
      </c>
      <c r="E789" s="77">
        <f t="shared" si="77"/>
        <v>3694.4</v>
      </c>
      <c r="F789" s="86">
        <v>0</v>
      </c>
      <c r="G789" s="77">
        <v>0</v>
      </c>
      <c r="H789" s="87">
        <f>2957.7+23.3+510+53.4+150</f>
        <v>3694.4</v>
      </c>
      <c r="I789" s="77">
        <v>0</v>
      </c>
      <c r="J789" s="77">
        <v>0</v>
      </c>
      <c r="K789" s="80"/>
      <c r="L789" s="155"/>
      <c r="M789" s="143"/>
    </row>
    <row r="790" ht="21.95" customHeight="1" spans="1:13">
      <c r="A790" s="107"/>
      <c r="B790" s="213"/>
      <c r="C790" s="75"/>
      <c r="D790" s="80">
        <v>2025</v>
      </c>
      <c r="E790" s="77">
        <f t="shared" si="77"/>
        <v>4719.1</v>
      </c>
      <c r="F790" s="86">
        <v>0</v>
      </c>
      <c r="G790" s="77">
        <v>0</v>
      </c>
      <c r="H790" s="87">
        <f>4739.6+69.5-90</f>
        <v>4719.1</v>
      </c>
      <c r="I790" s="77">
        <v>0</v>
      </c>
      <c r="J790" s="77">
        <v>0</v>
      </c>
      <c r="K790" s="80"/>
      <c r="L790" s="155"/>
      <c r="M790" s="143"/>
    </row>
    <row r="791" ht="21.95" customHeight="1" spans="1:13">
      <c r="A791" s="107"/>
      <c r="B791" s="213"/>
      <c r="C791" s="75"/>
      <c r="D791" s="80">
        <v>2026</v>
      </c>
      <c r="E791" s="77">
        <f t="shared" ref="E791" si="82">F791+G791+H791+J791</f>
        <v>4929.2</v>
      </c>
      <c r="F791" s="86">
        <v>0</v>
      </c>
      <c r="G791" s="77">
        <v>0</v>
      </c>
      <c r="H791" s="87">
        <f>4929.2</f>
        <v>4929.2</v>
      </c>
      <c r="I791" s="77">
        <v>0</v>
      </c>
      <c r="J791" s="77">
        <v>0</v>
      </c>
      <c r="K791" s="80"/>
      <c r="L791" s="155"/>
      <c r="M791" s="143"/>
    </row>
    <row r="792" ht="21.95" customHeight="1" spans="1:13">
      <c r="A792" s="107"/>
      <c r="B792" s="213"/>
      <c r="C792" s="75"/>
      <c r="D792" s="80">
        <v>2027</v>
      </c>
      <c r="E792" s="77">
        <f t="shared" si="77"/>
        <v>5126.4</v>
      </c>
      <c r="F792" s="86">
        <v>0</v>
      </c>
      <c r="G792" s="77">
        <v>0</v>
      </c>
      <c r="H792" s="87">
        <v>5126.4</v>
      </c>
      <c r="I792" s="77">
        <v>0</v>
      </c>
      <c r="J792" s="77">
        <v>0</v>
      </c>
      <c r="K792" s="80"/>
      <c r="L792" s="155"/>
      <c r="M792" s="143"/>
    </row>
    <row r="793" s="23" customFormat="1" ht="21.95" customHeight="1" spans="1:13">
      <c r="A793" s="107"/>
      <c r="B793" s="213"/>
      <c r="C793" s="75"/>
      <c r="D793" s="80">
        <v>2028</v>
      </c>
      <c r="E793" s="77">
        <f>F793+G793+H793+I793+J793</f>
        <v>5308</v>
      </c>
      <c r="F793" s="86">
        <v>0</v>
      </c>
      <c r="G793" s="77">
        <v>0</v>
      </c>
      <c r="H793" s="87">
        <v>5308</v>
      </c>
      <c r="I793" s="77">
        <v>0</v>
      </c>
      <c r="J793" s="77">
        <v>0</v>
      </c>
      <c r="K793" s="80"/>
      <c r="L793" s="155"/>
      <c r="M793" s="194"/>
    </row>
    <row r="794" ht="21.95" customHeight="1" spans="1:13">
      <c r="A794" s="107" t="s">
        <v>333</v>
      </c>
      <c r="B794" s="213" t="s">
        <v>334</v>
      </c>
      <c r="C794" s="75" t="e">
        <f>#REF!+#REF!+#REF!+#REF!+#REF!+#REF!+#REF!+#REF!</f>
        <v>#REF!</v>
      </c>
      <c r="D794" s="181">
        <v>2018</v>
      </c>
      <c r="E794" s="88">
        <f t="shared" si="77"/>
        <v>0</v>
      </c>
      <c r="F794" s="88">
        <v>0</v>
      </c>
      <c r="G794" s="88">
        <v>0</v>
      </c>
      <c r="H794" s="88">
        <v>0</v>
      </c>
      <c r="I794" s="88">
        <v>0</v>
      </c>
      <c r="J794" s="88">
        <v>0</v>
      </c>
      <c r="K794" s="80" t="s">
        <v>335</v>
      </c>
      <c r="L794" s="155" t="s">
        <v>35</v>
      </c>
      <c r="M794" s="143"/>
    </row>
    <row r="795" ht="21.95" customHeight="1" spans="1:13">
      <c r="A795" s="107"/>
      <c r="B795" s="213"/>
      <c r="C795" s="75"/>
      <c r="D795" s="76">
        <v>2019</v>
      </c>
      <c r="E795" s="77">
        <f t="shared" si="77"/>
        <v>0</v>
      </c>
      <c r="F795" s="77">
        <v>0</v>
      </c>
      <c r="G795" s="77">
        <v>0</v>
      </c>
      <c r="H795" s="77">
        <v>0</v>
      </c>
      <c r="I795" s="77">
        <v>0</v>
      </c>
      <c r="J795" s="77">
        <v>0</v>
      </c>
      <c r="K795" s="80"/>
      <c r="L795" s="155"/>
      <c r="M795" s="143"/>
    </row>
    <row r="796" ht="21.95" customHeight="1" spans="1:13">
      <c r="A796" s="107"/>
      <c r="B796" s="213"/>
      <c r="C796" s="75"/>
      <c r="D796" s="80">
        <v>2020</v>
      </c>
      <c r="E796" s="77">
        <f t="shared" si="77"/>
        <v>0</v>
      </c>
      <c r="F796" s="86">
        <v>0</v>
      </c>
      <c r="G796" s="77">
        <v>0</v>
      </c>
      <c r="H796" s="77">
        <v>0</v>
      </c>
      <c r="I796" s="77">
        <v>0</v>
      </c>
      <c r="J796" s="77">
        <v>0</v>
      </c>
      <c r="K796" s="80"/>
      <c r="L796" s="155"/>
      <c r="M796" s="143"/>
    </row>
    <row r="797" ht="21.95" customHeight="1" spans="1:13">
      <c r="A797" s="107"/>
      <c r="B797" s="213"/>
      <c r="C797" s="75"/>
      <c r="D797" s="80">
        <v>2021</v>
      </c>
      <c r="E797" s="77">
        <f t="shared" si="77"/>
        <v>0</v>
      </c>
      <c r="F797" s="86">
        <v>0</v>
      </c>
      <c r="G797" s="77">
        <v>0</v>
      </c>
      <c r="H797" s="77">
        <v>0</v>
      </c>
      <c r="I797" s="77">
        <v>0</v>
      </c>
      <c r="J797" s="77">
        <v>0</v>
      </c>
      <c r="K797" s="80"/>
      <c r="L797" s="155"/>
      <c r="M797" s="143"/>
    </row>
    <row r="798" ht="21.95" customHeight="1" spans="1:13">
      <c r="A798" s="107"/>
      <c r="B798" s="213"/>
      <c r="C798" s="75"/>
      <c r="D798" s="80">
        <v>2022</v>
      </c>
      <c r="E798" s="77">
        <f t="shared" si="77"/>
        <v>75.8</v>
      </c>
      <c r="F798" s="86">
        <v>0</v>
      </c>
      <c r="G798" s="77">
        <v>0</v>
      </c>
      <c r="H798" s="77">
        <f>1238.8-1163</f>
        <v>75.8</v>
      </c>
      <c r="I798" s="77">
        <v>0</v>
      </c>
      <c r="J798" s="77">
        <v>0</v>
      </c>
      <c r="K798" s="80"/>
      <c r="L798" s="155"/>
      <c r="M798" s="143"/>
    </row>
    <row r="799" ht="21.95" customHeight="1" spans="1:13">
      <c r="A799" s="107"/>
      <c r="B799" s="213"/>
      <c r="C799" s="75"/>
      <c r="D799" s="80">
        <v>2023</v>
      </c>
      <c r="E799" s="77">
        <f t="shared" si="77"/>
        <v>86.5</v>
      </c>
      <c r="F799" s="86">
        <v>0</v>
      </c>
      <c r="G799" s="77">
        <v>0</v>
      </c>
      <c r="H799" s="77">
        <f>49.3+10+5+22.2</f>
        <v>86.5</v>
      </c>
      <c r="I799" s="77">
        <v>0</v>
      </c>
      <c r="J799" s="77">
        <v>0</v>
      </c>
      <c r="K799" s="80"/>
      <c r="L799" s="155"/>
      <c r="M799" s="143"/>
    </row>
    <row r="800" ht="21.95" customHeight="1" spans="1:13">
      <c r="A800" s="107"/>
      <c r="B800" s="213"/>
      <c r="C800" s="75"/>
      <c r="D800" s="80">
        <v>2024</v>
      </c>
      <c r="E800" s="77">
        <f t="shared" si="77"/>
        <v>151.2</v>
      </c>
      <c r="F800" s="86">
        <v>0</v>
      </c>
      <c r="G800" s="77">
        <v>0</v>
      </c>
      <c r="H800" s="87">
        <f>58.7+55.5+10+27</f>
        <v>151.2</v>
      </c>
      <c r="I800" s="77">
        <v>0</v>
      </c>
      <c r="J800" s="77">
        <v>0</v>
      </c>
      <c r="K800" s="80"/>
      <c r="L800" s="155"/>
      <c r="M800" s="143"/>
    </row>
    <row r="801" ht="21.95" customHeight="1" spans="1:13">
      <c r="A801" s="107"/>
      <c r="B801" s="213"/>
      <c r="C801" s="75"/>
      <c r="D801" s="80">
        <v>2025</v>
      </c>
      <c r="E801" s="77">
        <f t="shared" si="77"/>
        <v>158.7</v>
      </c>
      <c r="F801" s="86">
        <v>0</v>
      </c>
      <c r="G801" s="77">
        <v>0</v>
      </c>
      <c r="H801" s="87">
        <f>147.1+19.6+10-18</f>
        <v>158.7</v>
      </c>
      <c r="I801" s="77">
        <v>0</v>
      </c>
      <c r="J801" s="77">
        <v>0</v>
      </c>
      <c r="K801" s="80"/>
      <c r="L801" s="155"/>
      <c r="M801" s="143"/>
    </row>
    <row r="802" ht="21.95" customHeight="1" spans="1:13">
      <c r="A802" s="107"/>
      <c r="B802" s="213"/>
      <c r="C802" s="75"/>
      <c r="D802" s="80">
        <v>2026</v>
      </c>
      <c r="E802" s="77">
        <f t="shared" ref="E802" si="83">F802+G802+H802+J802</f>
        <v>183.4</v>
      </c>
      <c r="F802" s="86">
        <v>0</v>
      </c>
      <c r="G802" s="77">
        <v>0</v>
      </c>
      <c r="H802" s="87">
        <v>183.4</v>
      </c>
      <c r="I802" s="77">
        <v>0</v>
      </c>
      <c r="J802" s="77">
        <v>0</v>
      </c>
      <c r="K802" s="80"/>
      <c r="L802" s="155"/>
      <c r="M802" s="143"/>
    </row>
    <row r="803" ht="21.95" customHeight="1" spans="1:13">
      <c r="A803" s="107"/>
      <c r="B803" s="213"/>
      <c r="C803" s="75"/>
      <c r="D803" s="80">
        <v>2027</v>
      </c>
      <c r="E803" s="77">
        <f t="shared" si="77"/>
        <v>190.7</v>
      </c>
      <c r="F803" s="86">
        <v>0</v>
      </c>
      <c r="G803" s="77">
        <v>0</v>
      </c>
      <c r="H803" s="87">
        <v>190.7</v>
      </c>
      <c r="I803" s="77">
        <v>0</v>
      </c>
      <c r="J803" s="77">
        <v>0</v>
      </c>
      <c r="K803" s="80"/>
      <c r="L803" s="155"/>
      <c r="M803" s="143"/>
    </row>
    <row r="804" ht="21.95" customHeight="1" spans="1:13">
      <c r="A804" s="107"/>
      <c r="B804" s="213"/>
      <c r="C804" s="75"/>
      <c r="D804" s="80">
        <v>2028</v>
      </c>
      <c r="E804" s="77">
        <f>F804+G804+H804+I804+J804</f>
        <v>183.4</v>
      </c>
      <c r="F804" s="86">
        <v>0</v>
      </c>
      <c r="G804" s="77">
        <v>0</v>
      </c>
      <c r="H804" s="87">
        <v>183.4</v>
      </c>
      <c r="I804" s="77">
        <v>0</v>
      </c>
      <c r="J804" s="77">
        <v>0</v>
      </c>
      <c r="K804" s="80"/>
      <c r="L804" s="155"/>
      <c r="M804" s="143"/>
    </row>
    <row r="805" ht="21.95" customHeight="1" spans="1:13">
      <c r="A805" s="107" t="s">
        <v>336</v>
      </c>
      <c r="B805" s="213" t="s">
        <v>337</v>
      </c>
      <c r="C805" s="75" t="e">
        <f>#REF!+#REF!+#REF!+#REF!+#REF!+#REF!+#REF!+#REF!</f>
        <v>#REF!</v>
      </c>
      <c r="D805" s="76">
        <v>2018</v>
      </c>
      <c r="E805" s="77">
        <f t="shared" si="77"/>
        <v>0</v>
      </c>
      <c r="F805" s="77">
        <v>0</v>
      </c>
      <c r="G805" s="77">
        <v>0</v>
      </c>
      <c r="H805" s="77">
        <v>0</v>
      </c>
      <c r="I805" s="77">
        <v>0</v>
      </c>
      <c r="J805" s="77">
        <v>0</v>
      </c>
      <c r="K805" s="80" t="s">
        <v>338</v>
      </c>
      <c r="L805" s="155" t="s">
        <v>35</v>
      </c>
      <c r="M805" s="143"/>
    </row>
    <row r="806" ht="21.95" customHeight="1" spans="1:13">
      <c r="A806" s="107"/>
      <c r="B806" s="213"/>
      <c r="C806" s="75"/>
      <c r="D806" s="76">
        <v>2019</v>
      </c>
      <c r="E806" s="77">
        <f t="shared" si="77"/>
        <v>0</v>
      </c>
      <c r="F806" s="77">
        <v>0</v>
      </c>
      <c r="G806" s="77">
        <v>0</v>
      </c>
      <c r="H806" s="77">
        <v>0</v>
      </c>
      <c r="I806" s="77">
        <v>0</v>
      </c>
      <c r="J806" s="77">
        <v>0</v>
      </c>
      <c r="K806" s="80"/>
      <c r="L806" s="155"/>
      <c r="M806" s="143"/>
    </row>
    <row r="807" ht="21.95" customHeight="1" spans="1:13">
      <c r="A807" s="107"/>
      <c r="B807" s="213"/>
      <c r="C807" s="75"/>
      <c r="D807" s="80">
        <v>2020</v>
      </c>
      <c r="E807" s="77">
        <f t="shared" si="77"/>
        <v>0</v>
      </c>
      <c r="F807" s="86">
        <v>0</v>
      </c>
      <c r="G807" s="77">
        <v>0</v>
      </c>
      <c r="H807" s="77">
        <v>0</v>
      </c>
      <c r="I807" s="77">
        <v>0</v>
      </c>
      <c r="J807" s="77">
        <v>0</v>
      </c>
      <c r="K807" s="80"/>
      <c r="L807" s="155"/>
      <c r="M807" s="143"/>
    </row>
    <row r="808" ht="21.95" customHeight="1" spans="1:13">
      <c r="A808" s="107"/>
      <c r="B808" s="213"/>
      <c r="C808" s="75"/>
      <c r="D808" s="80">
        <v>2021</v>
      </c>
      <c r="E808" s="77">
        <f t="shared" si="77"/>
        <v>0</v>
      </c>
      <c r="F808" s="86">
        <v>0</v>
      </c>
      <c r="G808" s="77">
        <v>0</v>
      </c>
      <c r="H808" s="77">
        <v>0</v>
      </c>
      <c r="I808" s="77">
        <v>0</v>
      </c>
      <c r="J808" s="77">
        <v>0</v>
      </c>
      <c r="K808" s="80"/>
      <c r="L808" s="155"/>
      <c r="M808" s="143"/>
    </row>
    <row r="809" ht="21.95" customHeight="1" spans="1:13">
      <c r="A809" s="107"/>
      <c r="B809" s="213"/>
      <c r="C809" s="75"/>
      <c r="D809" s="80">
        <v>2022</v>
      </c>
      <c r="E809" s="77">
        <f t="shared" si="77"/>
        <v>1081.7</v>
      </c>
      <c r="F809" s="86">
        <v>0</v>
      </c>
      <c r="G809" s="77">
        <f>1473.2+308.5-700</f>
        <v>1081.7</v>
      </c>
      <c r="H809" s="77">
        <v>0</v>
      </c>
      <c r="I809" s="77">
        <v>0</v>
      </c>
      <c r="J809" s="77">
        <v>0</v>
      </c>
      <c r="K809" s="80"/>
      <c r="L809" s="155"/>
      <c r="M809" s="143"/>
    </row>
    <row r="810" ht="21.95" customHeight="1" spans="1:13">
      <c r="A810" s="107"/>
      <c r="B810" s="213"/>
      <c r="C810" s="75"/>
      <c r="D810" s="80">
        <v>2023</v>
      </c>
      <c r="E810" s="77">
        <f t="shared" si="77"/>
        <v>1971.4</v>
      </c>
      <c r="F810" s="86">
        <v>0</v>
      </c>
      <c r="G810" s="77">
        <f>1594.1+377.3</f>
        <v>1971.4</v>
      </c>
      <c r="H810" s="77">
        <v>0</v>
      </c>
      <c r="I810" s="77">
        <v>0</v>
      </c>
      <c r="J810" s="77">
        <v>0</v>
      </c>
      <c r="K810" s="80"/>
      <c r="L810" s="155"/>
      <c r="M810" s="143"/>
    </row>
    <row r="811" ht="21.95" customHeight="1" spans="1:13">
      <c r="A811" s="107"/>
      <c r="B811" s="213"/>
      <c r="C811" s="75"/>
      <c r="D811" s="80">
        <v>2024</v>
      </c>
      <c r="E811" s="77">
        <f t="shared" si="77"/>
        <v>2320.7</v>
      </c>
      <c r="F811" s="86">
        <v>0</v>
      </c>
      <c r="G811" s="77">
        <f>1801.6+519.1</f>
        <v>2320.7</v>
      </c>
      <c r="H811" s="77">
        <v>0</v>
      </c>
      <c r="I811" s="77">
        <v>0</v>
      </c>
      <c r="J811" s="77">
        <v>0</v>
      </c>
      <c r="K811" s="80"/>
      <c r="L811" s="155"/>
      <c r="M811" s="143"/>
    </row>
    <row r="812" ht="21.95" customHeight="1" spans="1:13">
      <c r="A812" s="107"/>
      <c r="B812" s="213"/>
      <c r="C812" s="75"/>
      <c r="D812" s="80">
        <v>2025</v>
      </c>
      <c r="E812" s="77">
        <f t="shared" si="77"/>
        <v>2728.1</v>
      </c>
      <c r="F812" s="86">
        <v>0</v>
      </c>
      <c r="G812" s="77">
        <v>2728.1</v>
      </c>
      <c r="H812" s="77">
        <v>0</v>
      </c>
      <c r="I812" s="77">
        <v>0</v>
      </c>
      <c r="J812" s="77">
        <v>0</v>
      </c>
      <c r="K812" s="80"/>
      <c r="L812" s="155"/>
      <c r="M812" s="143"/>
    </row>
    <row r="813" ht="21.95" customHeight="1" spans="1:13">
      <c r="A813" s="107"/>
      <c r="B813" s="213"/>
      <c r="C813" s="75"/>
      <c r="D813" s="80">
        <v>2026</v>
      </c>
      <c r="E813" s="77">
        <f t="shared" ref="E813" si="84">F813+G813+H813+J813</f>
        <v>2788.8</v>
      </c>
      <c r="F813" s="86">
        <v>0</v>
      </c>
      <c r="G813" s="77">
        <f>2788.8</f>
        <v>2788.8</v>
      </c>
      <c r="H813" s="77">
        <v>0</v>
      </c>
      <c r="I813" s="77">
        <v>0</v>
      </c>
      <c r="J813" s="77">
        <v>0</v>
      </c>
      <c r="K813" s="80"/>
      <c r="L813" s="155"/>
      <c r="M813" s="143"/>
    </row>
    <row r="814" ht="21.95" customHeight="1" spans="1:13">
      <c r="A814" s="107"/>
      <c r="B814" s="213"/>
      <c r="C814" s="75"/>
      <c r="D814" s="80">
        <v>2027</v>
      </c>
      <c r="E814" s="77">
        <f t="shared" si="77"/>
        <v>3097.3</v>
      </c>
      <c r="F814" s="86">
        <v>0</v>
      </c>
      <c r="G814" s="77">
        <f>3097.3</f>
        <v>3097.3</v>
      </c>
      <c r="H814" s="77">
        <v>0</v>
      </c>
      <c r="I814" s="77">
        <v>0</v>
      </c>
      <c r="J814" s="77">
        <v>0</v>
      </c>
      <c r="K814" s="80"/>
      <c r="L814" s="155"/>
      <c r="M814" s="143"/>
    </row>
    <row r="815" ht="21.95" customHeight="1" spans="1:13">
      <c r="A815" s="107"/>
      <c r="B815" s="213"/>
      <c r="C815" s="75"/>
      <c r="D815" s="80">
        <v>2028</v>
      </c>
      <c r="E815" s="77">
        <f>G815</f>
        <v>3427.9</v>
      </c>
      <c r="F815" s="86">
        <v>0</v>
      </c>
      <c r="G815" s="77">
        <f>3427.9</f>
        <v>3427.9</v>
      </c>
      <c r="H815" s="77">
        <v>0</v>
      </c>
      <c r="I815" s="77">
        <v>0</v>
      </c>
      <c r="J815" s="77">
        <v>0</v>
      </c>
      <c r="K815" s="80"/>
      <c r="L815" s="155"/>
      <c r="M815" s="143"/>
    </row>
    <row r="816" ht="21.95" customHeight="1" spans="1:13">
      <c r="A816" s="107" t="s">
        <v>339</v>
      </c>
      <c r="B816" s="213" t="s">
        <v>340</v>
      </c>
      <c r="C816" s="75" t="e">
        <f>#REF!+#REF!+#REF!+#REF!+#REF!+#REF!+#REF!+#REF!</f>
        <v>#REF!</v>
      </c>
      <c r="D816" s="76">
        <v>2018</v>
      </c>
      <c r="E816" s="77">
        <f t="shared" si="77"/>
        <v>0</v>
      </c>
      <c r="F816" s="77">
        <v>0</v>
      </c>
      <c r="G816" s="77">
        <v>0</v>
      </c>
      <c r="H816" s="77">
        <v>0</v>
      </c>
      <c r="I816" s="77">
        <v>0</v>
      </c>
      <c r="J816" s="77">
        <v>0</v>
      </c>
      <c r="K816" s="80" t="s">
        <v>341</v>
      </c>
      <c r="L816" s="155" t="s">
        <v>35</v>
      </c>
      <c r="M816" s="143"/>
    </row>
    <row r="817" ht="21.95" customHeight="1" spans="1:13">
      <c r="A817" s="107"/>
      <c r="B817" s="213"/>
      <c r="C817" s="75"/>
      <c r="D817" s="76">
        <v>2019</v>
      </c>
      <c r="E817" s="77">
        <f t="shared" si="77"/>
        <v>0</v>
      </c>
      <c r="F817" s="77">
        <v>0</v>
      </c>
      <c r="G817" s="77">
        <v>0</v>
      </c>
      <c r="H817" s="77">
        <v>0</v>
      </c>
      <c r="I817" s="77">
        <v>0</v>
      </c>
      <c r="J817" s="77">
        <v>0</v>
      </c>
      <c r="K817" s="80"/>
      <c r="L817" s="155"/>
      <c r="M817" s="143"/>
    </row>
    <row r="818" ht="21.95" customHeight="1" spans="1:13">
      <c r="A818" s="107"/>
      <c r="B818" s="213"/>
      <c r="C818" s="75"/>
      <c r="D818" s="80">
        <v>2020</v>
      </c>
      <c r="E818" s="77">
        <f t="shared" si="77"/>
        <v>0</v>
      </c>
      <c r="F818" s="86">
        <v>0</v>
      </c>
      <c r="G818" s="77">
        <v>0</v>
      </c>
      <c r="H818" s="77">
        <v>0</v>
      </c>
      <c r="I818" s="77">
        <v>0</v>
      </c>
      <c r="J818" s="77">
        <v>0</v>
      </c>
      <c r="K818" s="80"/>
      <c r="L818" s="155"/>
      <c r="M818" s="143"/>
    </row>
    <row r="819" ht="21.95" customHeight="1" spans="1:13">
      <c r="A819" s="107"/>
      <c r="B819" s="213"/>
      <c r="C819" s="75"/>
      <c r="D819" s="80">
        <v>2021</v>
      </c>
      <c r="E819" s="77">
        <f t="shared" si="77"/>
        <v>0</v>
      </c>
      <c r="F819" s="86">
        <v>0</v>
      </c>
      <c r="G819" s="77">
        <v>0</v>
      </c>
      <c r="H819" s="77">
        <v>0</v>
      </c>
      <c r="I819" s="77">
        <v>0</v>
      </c>
      <c r="J819" s="77">
        <v>0</v>
      </c>
      <c r="K819" s="80"/>
      <c r="L819" s="155"/>
      <c r="M819" s="143"/>
    </row>
    <row r="820" ht="21.95" customHeight="1" spans="1:13">
      <c r="A820" s="107"/>
      <c r="B820" s="213"/>
      <c r="C820" s="75"/>
      <c r="D820" s="80">
        <v>2022</v>
      </c>
      <c r="E820" s="77">
        <f>F820+G820+H820+J820</f>
        <v>12593.2</v>
      </c>
      <c r="F820" s="86">
        <v>0</v>
      </c>
      <c r="G820" s="77">
        <v>7555.9</v>
      </c>
      <c r="H820" s="77">
        <v>5037.3</v>
      </c>
      <c r="I820" s="77">
        <v>5037.3</v>
      </c>
      <c r="J820" s="77">
        <v>0</v>
      </c>
      <c r="K820" s="80"/>
      <c r="L820" s="155"/>
      <c r="M820" s="143"/>
    </row>
    <row r="821" ht="21.95" customHeight="1" spans="1:13">
      <c r="A821" s="107"/>
      <c r="B821" s="213"/>
      <c r="C821" s="75"/>
      <c r="D821" s="80">
        <v>2023</v>
      </c>
      <c r="E821" s="77">
        <f t="shared" si="77"/>
        <v>16906.7</v>
      </c>
      <c r="F821" s="86">
        <v>0</v>
      </c>
      <c r="G821" s="77">
        <v>10144</v>
      </c>
      <c r="H821" s="77">
        <f>I821</f>
        <v>6762.7</v>
      </c>
      <c r="I821" s="77">
        <f>5051.9+1710.8</f>
        <v>6762.7</v>
      </c>
      <c r="J821" s="77">
        <v>0</v>
      </c>
      <c r="K821" s="80"/>
      <c r="L821" s="155"/>
      <c r="M821" s="143"/>
    </row>
    <row r="822" ht="21.95" customHeight="1" spans="1:13">
      <c r="A822" s="107"/>
      <c r="B822" s="213" t="s">
        <v>342</v>
      </c>
      <c r="C822" s="75"/>
      <c r="D822" s="80">
        <v>2024</v>
      </c>
      <c r="E822" s="77">
        <f t="shared" si="77"/>
        <v>21687.5</v>
      </c>
      <c r="F822" s="86">
        <v>0</v>
      </c>
      <c r="G822" s="87">
        <f>8106+4906.5</f>
        <v>13012.5</v>
      </c>
      <c r="H822" s="87">
        <f>I822</f>
        <v>8675</v>
      </c>
      <c r="I822" s="87">
        <f>5404+3271</f>
        <v>8675</v>
      </c>
      <c r="J822" s="77">
        <v>0</v>
      </c>
      <c r="K822" s="80"/>
      <c r="L822" s="155"/>
      <c r="M822" s="143"/>
    </row>
    <row r="823" ht="21.95" customHeight="1" spans="1:13">
      <c r="A823" s="107"/>
      <c r="B823" s="213"/>
      <c r="C823" s="75"/>
      <c r="D823" s="80">
        <v>2025</v>
      </c>
      <c r="E823" s="77">
        <f>F823+G823+H823+J823</f>
        <v>24226.4</v>
      </c>
      <c r="F823" s="86">
        <v>0</v>
      </c>
      <c r="G823" s="87">
        <f>12381.4+2154.4</f>
        <v>14535.8</v>
      </c>
      <c r="H823" s="87">
        <f>8254.3+147.4+1288.9</f>
        <v>9690.6</v>
      </c>
      <c r="I823" s="87">
        <f>H823</f>
        <v>9690.6</v>
      </c>
      <c r="J823" s="77">
        <v>0</v>
      </c>
      <c r="K823" s="80"/>
      <c r="L823" s="155"/>
      <c r="M823" s="143"/>
    </row>
    <row r="824" ht="21.95" customHeight="1" spans="1:13">
      <c r="A824" s="107"/>
      <c r="B824" s="213"/>
      <c r="C824" s="75"/>
      <c r="D824" s="80">
        <v>2026</v>
      </c>
      <c r="E824" s="77">
        <f>F824+G824+H824+J824</f>
        <v>23653.5</v>
      </c>
      <c r="F824" s="86">
        <v>0</v>
      </c>
      <c r="G824" s="87">
        <v>14192.1</v>
      </c>
      <c r="H824" s="87">
        <v>9461.4</v>
      </c>
      <c r="I824" s="87">
        <f>H824</f>
        <v>9461.4</v>
      </c>
      <c r="J824" s="77">
        <v>0</v>
      </c>
      <c r="K824" s="80"/>
      <c r="L824" s="155"/>
      <c r="M824" s="143"/>
    </row>
    <row r="825" ht="21.95" customHeight="1" spans="1:13">
      <c r="A825" s="107"/>
      <c r="B825" s="213"/>
      <c r="C825" s="75"/>
      <c r="D825" s="75">
        <v>2027</v>
      </c>
      <c r="E825" s="77">
        <f>F825+G825+H825+J825</f>
        <v>24599.7</v>
      </c>
      <c r="F825" s="86">
        <v>0</v>
      </c>
      <c r="G825" s="87">
        <v>14759.8</v>
      </c>
      <c r="H825" s="87">
        <v>9839.9</v>
      </c>
      <c r="I825" s="87">
        <f>H825</f>
        <v>9839.9</v>
      </c>
      <c r="J825" s="77">
        <v>0</v>
      </c>
      <c r="K825" s="80"/>
      <c r="L825" s="155"/>
      <c r="M825" s="143"/>
    </row>
    <row r="826" ht="21.95" customHeight="1" spans="1:13">
      <c r="A826" s="107"/>
      <c r="B826" s="213"/>
      <c r="C826" s="75"/>
      <c r="D826" s="75">
        <v>2028</v>
      </c>
      <c r="E826" s="77">
        <f>F826+G826+H826+J826</f>
        <v>23707.2</v>
      </c>
      <c r="F826" s="86">
        <v>0</v>
      </c>
      <c r="G826" s="87">
        <v>14224.3</v>
      </c>
      <c r="H826" s="87">
        <v>9482.9</v>
      </c>
      <c r="I826" s="87">
        <f>H826</f>
        <v>9482.9</v>
      </c>
      <c r="J826" s="77">
        <v>0</v>
      </c>
      <c r="K826" s="80"/>
      <c r="L826" s="155"/>
      <c r="M826" s="143"/>
    </row>
    <row r="827" ht="19.5" customHeight="1" spans="1:13">
      <c r="A827" s="107" t="s">
        <v>343</v>
      </c>
      <c r="B827" s="75" t="s">
        <v>344</v>
      </c>
      <c r="C827" s="75"/>
      <c r="D827" s="80">
        <v>2018</v>
      </c>
      <c r="E827" s="77">
        <f t="shared" ref="E827:E831" si="85">F827+G827+H827+J827</f>
        <v>0</v>
      </c>
      <c r="F827" s="86">
        <v>0</v>
      </c>
      <c r="G827" s="77">
        <v>0</v>
      </c>
      <c r="H827" s="86">
        <v>0</v>
      </c>
      <c r="I827" s="77">
        <v>0</v>
      </c>
      <c r="J827" s="86">
        <v>0</v>
      </c>
      <c r="K827" s="80" t="s">
        <v>345</v>
      </c>
      <c r="L827" s="155" t="s">
        <v>35</v>
      </c>
      <c r="M827" s="143"/>
    </row>
    <row r="828" ht="19.5" spans="1:13">
      <c r="A828" s="107"/>
      <c r="B828" s="75"/>
      <c r="C828" s="75"/>
      <c r="D828" s="80">
        <v>2019</v>
      </c>
      <c r="E828" s="77">
        <f t="shared" si="85"/>
        <v>0</v>
      </c>
      <c r="F828" s="86">
        <v>0</v>
      </c>
      <c r="G828" s="77">
        <v>0</v>
      </c>
      <c r="H828" s="86">
        <v>0</v>
      </c>
      <c r="I828" s="77">
        <v>0</v>
      </c>
      <c r="J828" s="86">
        <v>0</v>
      </c>
      <c r="K828" s="80"/>
      <c r="L828" s="155"/>
      <c r="M828" s="143"/>
    </row>
    <row r="829" ht="19.5" spans="1:13">
      <c r="A829" s="107"/>
      <c r="B829" s="75"/>
      <c r="C829" s="75"/>
      <c r="D829" s="80">
        <v>2020</v>
      </c>
      <c r="E829" s="77">
        <f t="shared" si="85"/>
        <v>0</v>
      </c>
      <c r="F829" s="86">
        <v>0</v>
      </c>
      <c r="G829" s="77">
        <v>0</v>
      </c>
      <c r="H829" s="86">
        <v>0</v>
      </c>
      <c r="I829" s="77">
        <v>0</v>
      </c>
      <c r="J829" s="86">
        <v>0</v>
      </c>
      <c r="K829" s="80"/>
      <c r="L829" s="155"/>
      <c r="M829" s="143"/>
    </row>
    <row r="830" ht="19.5" spans="1:13">
      <c r="A830" s="107"/>
      <c r="B830" s="75"/>
      <c r="C830" s="75"/>
      <c r="D830" s="80">
        <v>2021</v>
      </c>
      <c r="E830" s="77">
        <f t="shared" si="85"/>
        <v>0</v>
      </c>
      <c r="F830" s="86">
        <v>0</v>
      </c>
      <c r="G830" s="77">
        <v>0</v>
      </c>
      <c r="H830" s="86">
        <v>0</v>
      </c>
      <c r="I830" s="77">
        <v>0</v>
      </c>
      <c r="J830" s="86">
        <v>0</v>
      </c>
      <c r="K830" s="80"/>
      <c r="L830" s="155"/>
      <c r="M830" s="143"/>
    </row>
    <row r="831" ht="19.5" spans="1:13">
      <c r="A831" s="107"/>
      <c r="B831" s="75"/>
      <c r="C831" s="75"/>
      <c r="D831" s="80">
        <v>2022</v>
      </c>
      <c r="E831" s="77">
        <f t="shared" si="85"/>
        <v>2155.6</v>
      </c>
      <c r="F831" s="86">
        <v>0</v>
      </c>
      <c r="G831" s="77">
        <v>2155.6</v>
      </c>
      <c r="H831" s="86">
        <v>0</v>
      </c>
      <c r="I831" s="77">
        <v>0</v>
      </c>
      <c r="J831" s="86">
        <v>0</v>
      </c>
      <c r="K831" s="80"/>
      <c r="L831" s="155"/>
      <c r="M831" s="143"/>
    </row>
    <row r="832" ht="19.5" spans="1:13">
      <c r="A832" s="107"/>
      <c r="B832" s="75"/>
      <c r="C832" s="75"/>
      <c r="D832" s="80">
        <v>2023</v>
      </c>
      <c r="E832" s="77">
        <f t="shared" ref="E832:E842" si="86">F832+G832+H832+J832</f>
        <v>6822.5</v>
      </c>
      <c r="F832" s="86">
        <v>0</v>
      </c>
      <c r="G832" s="77">
        <f>6509.2+313.3</f>
        <v>6822.5</v>
      </c>
      <c r="H832" s="86">
        <v>0</v>
      </c>
      <c r="I832" s="77">
        <v>0</v>
      </c>
      <c r="J832" s="86">
        <v>0</v>
      </c>
      <c r="K832" s="80"/>
      <c r="L832" s="155"/>
      <c r="M832" s="143"/>
    </row>
    <row r="833" s="23" customFormat="1" ht="28.5" customHeight="1" spans="1:13">
      <c r="A833" s="107"/>
      <c r="B833" s="75"/>
      <c r="C833" s="75"/>
      <c r="D833" s="80">
        <v>2024</v>
      </c>
      <c r="E833" s="77">
        <f t="shared" si="86"/>
        <v>6727.1</v>
      </c>
      <c r="F833" s="86">
        <v>0</v>
      </c>
      <c r="G833" s="77">
        <f>6166.5+560.6</f>
        <v>6727.1</v>
      </c>
      <c r="H833" s="86">
        <v>0</v>
      </c>
      <c r="I833" s="77">
        <v>0</v>
      </c>
      <c r="J833" s="86">
        <v>0</v>
      </c>
      <c r="K833" s="80"/>
      <c r="L833" s="155"/>
      <c r="M833" s="194"/>
    </row>
    <row r="834" ht="31.5" customHeight="1" spans="1:13">
      <c r="A834" s="107"/>
      <c r="B834" s="75" t="s">
        <v>346</v>
      </c>
      <c r="C834" s="85"/>
      <c r="D834" s="145">
        <v>2025</v>
      </c>
      <c r="E834" s="88">
        <f t="shared" si="86"/>
        <v>6747</v>
      </c>
      <c r="F834" s="221">
        <v>6477.1</v>
      </c>
      <c r="G834" s="88">
        <f>6747-F834</f>
        <v>269.9</v>
      </c>
      <c r="H834" s="221">
        <v>0</v>
      </c>
      <c r="I834" s="88">
        <v>0</v>
      </c>
      <c r="J834" s="221">
        <v>0</v>
      </c>
      <c r="K834" s="80"/>
      <c r="L834" s="155"/>
      <c r="M834" s="143"/>
    </row>
    <row r="835" ht="30.75" customHeight="1" spans="1:13">
      <c r="A835" s="107"/>
      <c r="B835" s="75"/>
      <c r="C835" s="75"/>
      <c r="D835" s="80">
        <v>2026</v>
      </c>
      <c r="E835" s="77">
        <f t="shared" si="86"/>
        <v>6569.1</v>
      </c>
      <c r="F835" s="81">
        <v>6306.3</v>
      </c>
      <c r="G835" s="77">
        <v>262.8</v>
      </c>
      <c r="H835" s="81">
        <v>0</v>
      </c>
      <c r="I835" s="77">
        <v>0</v>
      </c>
      <c r="J835" s="81">
        <v>0</v>
      </c>
      <c r="K835" s="80"/>
      <c r="L835" s="155"/>
      <c r="M835" s="143"/>
    </row>
    <row r="836" ht="31.5" customHeight="1" spans="1:13">
      <c r="A836" s="107"/>
      <c r="B836" s="75"/>
      <c r="C836" s="75"/>
      <c r="D836" s="80">
        <v>2027</v>
      </c>
      <c r="E836" s="77">
        <f t="shared" si="86"/>
        <v>6839.5</v>
      </c>
      <c r="F836" s="81">
        <v>6565.9</v>
      </c>
      <c r="G836" s="77">
        <v>273.6</v>
      </c>
      <c r="H836" s="81">
        <v>0</v>
      </c>
      <c r="I836" s="77">
        <v>0</v>
      </c>
      <c r="J836" s="81">
        <v>0</v>
      </c>
      <c r="K836" s="80"/>
      <c r="L836" s="155"/>
      <c r="M836" s="143"/>
    </row>
    <row r="837" ht="31.5" customHeight="1" spans="1:13">
      <c r="A837" s="107"/>
      <c r="B837" s="75"/>
      <c r="C837" s="75"/>
      <c r="D837" s="80">
        <v>2028</v>
      </c>
      <c r="E837" s="77">
        <f>F837+G837+H837+I837+J837</f>
        <v>6915.6</v>
      </c>
      <c r="F837" s="81">
        <v>6638.9</v>
      </c>
      <c r="G837" s="77">
        <v>276.7</v>
      </c>
      <c r="H837" s="81">
        <v>0</v>
      </c>
      <c r="I837" s="77">
        <v>0</v>
      </c>
      <c r="J837" s="81">
        <v>0</v>
      </c>
      <c r="K837" s="80"/>
      <c r="L837" s="155"/>
      <c r="M837" s="143"/>
    </row>
    <row r="838" ht="27" customHeight="1" spans="1:13">
      <c r="A838" s="107" t="s">
        <v>347</v>
      </c>
      <c r="B838" s="80" t="s">
        <v>348</v>
      </c>
      <c r="C838" s="75"/>
      <c r="D838" s="80">
        <v>2018</v>
      </c>
      <c r="E838" s="77">
        <f t="shared" si="86"/>
        <v>0</v>
      </c>
      <c r="F838" s="86">
        <v>0</v>
      </c>
      <c r="G838" s="77">
        <v>0</v>
      </c>
      <c r="H838" s="86">
        <v>0</v>
      </c>
      <c r="I838" s="77">
        <v>0</v>
      </c>
      <c r="J838" s="86">
        <v>0</v>
      </c>
      <c r="K838" s="80" t="s">
        <v>349</v>
      </c>
      <c r="L838" s="155" t="s">
        <v>35</v>
      </c>
      <c r="M838" s="143"/>
    </row>
    <row r="839" ht="27" customHeight="1" spans="1:13">
      <c r="A839" s="107"/>
      <c r="B839" s="80"/>
      <c r="C839" s="75"/>
      <c r="D839" s="80">
        <v>2019</v>
      </c>
      <c r="E839" s="77">
        <f t="shared" si="86"/>
        <v>0</v>
      </c>
      <c r="F839" s="86">
        <v>0</v>
      </c>
      <c r="G839" s="77">
        <v>0</v>
      </c>
      <c r="H839" s="86">
        <v>0</v>
      </c>
      <c r="I839" s="77">
        <v>0</v>
      </c>
      <c r="J839" s="86">
        <v>0</v>
      </c>
      <c r="K839" s="80"/>
      <c r="L839" s="155"/>
      <c r="M839" s="143"/>
    </row>
    <row r="840" ht="27" customHeight="1" spans="1:13">
      <c r="A840" s="107"/>
      <c r="B840" s="80"/>
      <c r="C840" s="75"/>
      <c r="D840" s="80">
        <v>2020</v>
      </c>
      <c r="E840" s="77">
        <f t="shared" si="86"/>
        <v>0</v>
      </c>
      <c r="F840" s="86">
        <v>0</v>
      </c>
      <c r="G840" s="77">
        <v>0</v>
      </c>
      <c r="H840" s="86">
        <v>0</v>
      </c>
      <c r="I840" s="77">
        <v>0</v>
      </c>
      <c r="J840" s="86">
        <v>0</v>
      </c>
      <c r="K840" s="80"/>
      <c r="L840" s="155"/>
      <c r="M840" s="143"/>
    </row>
    <row r="841" ht="27" customHeight="1" spans="1:13">
      <c r="A841" s="107"/>
      <c r="B841" s="80"/>
      <c r="C841" s="75"/>
      <c r="D841" s="80">
        <v>2021</v>
      </c>
      <c r="E841" s="77">
        <f t="shared" si="86"/>
        <v>0</v>
      </c>
      <c r="F841" s="86">
        <v>0</v>
      </c>
      <c r="G841" s="77">
        <v>0</v>
      </c>
      <c r="H841" s="86">
        <v>0</v>
      </c>
      <c r="I841" s="77">
        <v>0</v>
      </c>
      <c r="J841" s="86">
        <v>0</v>
      </c>
      <c r="K841" s="80"/>
      <c r="L841" s="155"/>
      <c r="M841" s="143"/>
    </row>
    <row r="842" ht="27" customHeight="1" spans="1:13">
      <c r="A842" s="107"/>
      <c r="B842" s="80"/>
      <c r="C842" s="75"/>
      <c r="D842" s="80">
        <v>2022</v>
      </c>
      <c r="E842" s="77">
        <f t="shared" si="86"/>
        <v>0</v>
      </c>
      <c r="F842" s="86">
        <v>0</v>
      </c>
      <c r="G842" s="77">
        <v>0</v>
      </c>
      <c r="H842" s="86">
        <v>0</v>
      </c>
      <c r="I842" s="77">
        <v>0</v>
      </c>
      <c r="J842" s="86">
        <v>0</v>
      </c>
      <c r="K842" s="80"/>
      <c r="L842" s="155"/>
      <c r="M842" s="143"/>
    </row>
    <row r="843" ht="27" customHeight="1" spans="1:13">
      <c r="A843" s="107"/>
      <c r="B843" s="80"/>
      <c r="C843" s="75"/>
      <c r="D843" s="80">
        <v>2023</v>
      </c>
      <c r="E843" s="77">
        <f t="shared" ref="E843:E853" si="87">F843+G843+H843+J843</f>
        <v>30641.8</v>
      </c>
      <c r="F843" s="86">
        <v>0</v>
      </c>
      <c r="G843" s="77">
        <f>27008.3+7617.9-5516.6</f>
        <v>29109.6</v>
      </c>
      <c r="H843" s="81">
        <f>1822.6-290.4</f>
        <v>1532.2</v>
      </c>
      <c r="I843" s="77">
        <f>1822.6-290.4</f>
        <v>1532.2</v>
      </c>
      <c r="J843" s="86">
        <v>0</v>
      </c>
      <c r="K843" s="80"/>
      <c r="L843" s="155"/>
      <c r="M843" s="143"/>
    </row>
    <row r="844" ht="27" customHeight="1" spans="1:13">
      <c r="A844" s="107"/>
      <c r="B844" s="80"/>
      <c r="C844" s="75"/>
      <c r="D844" s="80">
        <v>2024</v>
      </c>
      <c r="E844" s="77">
        <f t="shared" si="87"/>
        <v>0</v>
      </c>
      <c r="F844" s="86">
        <v>0</v>
      </c>
      <c r="G844" s="77">
        <v>0</v>
      </c>
      <c r="H844" s="222">
        <v>0</v>
      </c>
      <c r="I844" s="77">
        <v>0</v>
      </c>
      <c r="J844" s="86">
        <v>0</v>
      </c>
      <c r="K844" s="80"/>
      <c r="L844" s="155"/>
      <c r="M844" s="143"/>
    </row>
    <row r="845" ht="27" customHeight="1" spans="1:13">
      <c r="A845" s="107"/>
      <c r="B845" s="80"/>
      <c r="C845" s="75"/>
      <c r="D845" s="80">
        <v>2025</v>
      </c>
      <c r="E845" s="77">
        <f t="shared" si="87"/>
        <v>0</v>
      </c>
      <c r="F845" s="86">
        <v>0</v>
      </c>
      <c r="G845" s="77">
        <v>0</v>
      </c>
      <c r="H845" s="222">
        <v>0</v>
      </c>
      <c r="I845" s="77">
        <v>0</v>
      </c>
      <c r="J845" s="86">
        <v>0</v>
      </c>
      <c r="K845" s="80"/>
      <c r="L845" s="155"/>
      <c r="M845" s="143"/>
    </row>
    <row r="846" ht="27" customHeight="1" spans="1:13">
      <c r="A846" s="107"/>
      <c r="B846" s="80"/>
      <c r="C846" s="75"/>
      <c r="D846" s="80">
        <v>2026</v>
      </c>
      <c r="E846" s="77">
        <f t="shared" ref="E846" si="88">F846+G846+H846+J846</f>
        <v>0</v>
      </c>
      <c r="F846" s="86">
        <v>0</v>
      </c>
      <c r="G846" s="77">
        <v>0</v>
      </c>
      <c r="H846" s="222">
        <v>0</v>
      </c>
      <c r="I846" s="77">
        <v>0</v>
      </c>
      <c r="J846" s="86">
        <v>0</v>
      </c>
      <c r="K846" s="80"/>
      <c r="L846" s="155"/>
      <c r="M846" s="143"/>
    </row>
    <row r="847" ht="27" customHeight="1" spans="1:13">
      <c r="A847" s="107"/>
      <c r="B847" s="80"/>
      <c r="C847" s="75"/>
      <c r="D847" s="80">
        <v>2027</v>
      </c>
      <c r="E847" s="77">
        <f t="shared" si="87"/>
        <v>0</v>
      </c>
      <c r="F847" s="86">
        <v>0</v>
      </c>
      <c r="G847" s="77">
        <v>0</v>
      </c>
      <c r="H847" s="222">
        <v>0</v>
      </c>
      <c r="I847" s="77">
        <v>0</v>
      </c>
      <c r="J847" s="86">
        <v>0</v>
      </c>
      <c r="K847" s="80"/>
      <c r="L847" s="155"/>
      <c r="M847" s="143"/>
    </row>
    <row r="848" ht="27" customHeight="1" spans="1:13">
      <c r="A848" s="107"/>
      <c r="B848" s="80"/>
      <c r="C848" s="75"/>
      <c r="D848" s="80">
        <v>2028</v>
      </c>
      <c r="E848" s="77">
        <v>0</v>
      </c>
      <c r="F848" s="86">
        <v>0</v>
      </c>
      <c r="G848" s="77">
        <v>0</v>
      </c>
      <c r="H848" s="222">
        <v>0</v>
      </c>
      <c r="I848" s="77">
        <v>0</v>
      </c>
      <c r="J848" s="86">
        <v>0</v>
      </c>
      <c r="K848" s="80"/>
      <c r="L848" s="155"/>
      <c r="M848" s="143"/>
    </row>
    <row r="849" ht="39.75" customHeight="1" spans="1:13">
      <c r="A849" s="107" t="s">
        <v>350</v>
      </c>
      <c r="B849" s="80" t="s">
        <v>351</v>
      </c>
      <c r="C849" s="75"/>
      <c r="D849" s="80">
        <v>2018</v>
      </c>
      <c r="E849" s="77">
        <f t="shared" si="87"/>
        <v>0</v>
      </c>
      <c r="F849" s="86">
        <v>0</v>
      </c>
      <c r="G849" s="77">
        <v>0</v>
      </c>
      <c r="H849" s="81">
        <v>0</v>
      </c>
      <c r="I849" s="77">
        <v>0</v>
      </c>
      <c r="J849" s="81">
        <v>0</v>
      </c>
      <c r="K849" s="80" t="s">
        <v>352</v>
      </c>
      <c r="L849" s="155" t="s">
        <v>35</v>
      </c>
      <c r="M849" s="143"/>
    </row>
    <row r="850" ht="38.25" customHeight="1" spans="1:13">
      <c r="A850" s="107"/>
      <c r="B850" s="80"/>
      <c r="C850" s="75"/>
      <c r="D850" s="80">
        <v>2019</v>
      </c>
      <c r="E850" s="77">
        <f t="shared" si="87"/>
        <v>0</v>
      </c>
      <c r="F850" s="81">
        <v>0</v>
      </c>
      <c r="G850" s="77">
        <v>0</v>
      </c>
      <c r="H850" s="81">
        <v>0</v>
      </c>
      <c r="I850" s="77">
        <v>0</v>
      </c>
      <c r="J850" s="81">
        <v>0</v>
      </c>
      <c r="K850" s="80"/>
      <c r="L850" s="155"/>
      <c r="M850" s="143"/>
    </row>
    <row r="851" ht="45" customHeight="1" spans="1:13">
      <c r="A851" s="107"/>
      <c r="B851" s="80"/>
      <c r="C851" s="75"/>
      <c r="D851" s="80">
        <v>2020</v>
      </c>
      <c r="E851" s="77">
        <f t="shared" si="87"/>
        <v>0</v>
      </c>
      <c r="F851" s="81">
        <v>0</v>
      </c>
      <c r="G851" s="77">
        <v>0</v>
      </c>
      <c r="H851" s="81">
        <v>0</v>
      </c>
      <c r="I851" s="77">
        <v>0</v>
      </c>
      <c r="J851" s="86">
        <v>0</v>
      </c>
      <c r="K851" s="80"/>
      <c r="L851" s="155"/>
      <c r="M851" s="143"/>
    </row>
    <row r="852" ht="45" customHeight="1" spans="1:13">
      <c r="A852" s="107"/>
      <c r="B852" s="80"/>
      <c r="C852" s="75"/>
      <c r="D852" s="80">
        <v>2021</v>
      </c>
      <c r="E852" s="77">
        <f t="shared" si="87"/>
        <v>0</v>
      </c>
      <c r="F852" s="81">
        <v>0</v>
      </c>
      <c r="G852" s="77">
        <v>0</v>
      </c>
      <c r="H852" s="81">
        <v>0</v>
      </c>
      <c r="I852" s="77">
        <v>0</v>
      </c>
      <c r="J852" s="86">
        <v>0</v>
      </c>
      <c r="K852" s="80"/>
      <c r="L852" s="155"/>
      <c r="M852" s="143"/>
    </row>
    <row r="853" ht="45" customHeight="1" spans="1:13">
      <c r="A853" s="107"/>
      <c r="B853" s="80"/>
      <c r="C853" s="75"/>
      <c r="D853" s="80">
        <v>2022</v>
      </c>
      <c r="E853" s="77">
        <f t="shared" si="87"/>
        <v>0</v>
      </c>
      <c r="F853" s="81">
        <v>0</v>
      </c>
      <c r="G853" s="77">
        <v>0</v>
      </c>
      <c r="H853" s="81">
        <v>0</v>
      </c>
      <c r="I853" s="77">
        <v>0</v>
      </c>
      <c r="J853" s="86">
        <v>0</v>
      </c>
      <c r="K853" s="80"/>
      <c r="L853" s="155"/>
      <c r="M853" s="143"/>
    </row>
    <row r="854" ht="87" customHeight="1" spans="1:13">
      <c r="A854" s="107"/>
      <c r="B854" s="80"/>
      <c r="C854" s="75"/>
      <c r="D854" s="80">
        <v>2023</v>
      </c>
      <c r="E854" s="77">
        <f t="shared" ref="E854:E865" si="89">F854+G854+H854+J854</f>
        <v>197.6</v>
      </c>
      <c r="F854" s="81">
        <v>0</v>
      </c>
      <c r="G854" s="77">
        <f>468.8-281.1</f>
        <v>187.7</v>
      </c>
      <c r="H854" s="81">
        <f>24.7-14.8</f>
        <v>9.9</v>
      </c>
      <c r="I854" s="77">
        <f>24.7-14.8</f>
        <v>9.9</v>
      </c>
      <c r="J854" s="81">
        <v>0</v>
      </c>
      <c r="K854" s="80"/>
      <c r="L854" s="155"/>
      <c r="M854" s="143"/>
    </row>
    <row r="855" ht="61.5" customHeight="1" spans="1:13">
      <c r="A855" s="107"/>
      <c r="B855" s="80" t="s">
        <v>353</v>
      </c>
      <c r="C855" s="75"/>
      <c r="D855" s="80">
        <v>2024</v>
      </c>
      <c r="E855" s="77">
        <f t="shared" si="89"/>
        <v>1041.1</v>
      </c>
      <c r="F855" s="81">
        <v>0</v>
      </c>
      <c r="G855" s="87">
        <v>989</v>
      </c>
      <c r="H855" s="223">
        <f>I855</f>
        <v>52.1</v>
      </c>
      <c r="I855" s="87">
        <v>52.1</v>
      </c>
      <c r="J855" s="81">
        <v>0</v>
      </c>
      <c r="K855" s="80" t="s">
        <v>352</v>
      </c>
      <c r="L855" s="155" t="s">
        <v>35</v>
      </c>
      <c r="M855" s="143"/>
    </row>
    <row r="856" ht="60" customHeight="1" spans="1:13">
      <c r="A856" s="107"/>
      <c r="B856" s="80"/>
      <c r="C856" s="75"/>
      <c r="D856" s="80">
        <v>2025</v>
      </c>
      <c r="E856" s="77">
        <f t="shared" si="89"/>
        <v>0</v>
      </c>
      <c r="F856" s="81">
        <v>0</v>
      </c>
      <c r="G856" s="87">
        <v>0</v>
      </c>
      <c r="H856" s="223">
        <v>0</v>
      </c>
      <c r="I856" s="87">
        <v>0</v>
      </c>
      <c r="J856" s="81">
        <v>0</v>
      </c>
      <c r="K856" s="80"/>
      <c r="L856" s="155"/>
      <c r="M856" s="143"/>
    </row>
    <row r="857" ht="55.5" customHeight="1" spans="1:13">
      <c r="A857" s="107"/>
      <c r="B857" s="80"/>
      <c r="C857" s="75"/>
      <c r="D857" s="80">
        <v>2026</v>
      </c>
      <c r="E857" s="77">
        <f t="shared" ref="E857" si="90">F857+G857+H857+J857</f>
        <v>0</v>
      </c>
      <c r="F857" s="81">
        <v>0</v>
      </c>
      <c r="G857" s="87">
        <v>0</v>
      </c>
      <c r="H857" s="223">
        <v>0</v>
      </c>
      <c r="I857" s="87">
        <v>0</v>
      </c>
      <c r="J857" s="81">
        <v>0</v>
      </c>
      <c r="K857" s="80"/>
      <c r="L857" s="155"/>
      <c r="M857" s="143"/>
    </row>
    <row r="858" ht="61.5" customHeight="1" spans="1:13">
      <c r="A858" s="107"/>
      <c r="B858" s="80"/>
      <c r="C858" s="75"/>
      <c r="D858" s="80">
        <v>2027</v>
      </c>
      <c r="E858" s="77">
        <f t="shared" si="89"/>
        <v>0</v>
      </c>
      <c r="F858" s="81">
        <v>0</v>
      </c>
      <c r="G858" s="87">
        <v>0</v>
      </c>
      <c r="H858" s="223">
        <v>0</v>
      </c>
      <c r="I858" s="87">
        <v>0</v>
      </c>
      <c r="J858" s="81">
        <v>0</v>
      </c>
      <c r="K858" s="80"/>
      <c r="L858" s="155"/>
      <c r="M858" s="143"/>
    </row>
    <row r="859" s="23" customFormat="1" ht="74" customHeight="1" spans="1:13">
      <c r="A859" s="107"/>
      <c r="B859" s="80"/>
      <c r="C859" s="75"/>
      <c r="D859" s="80">
        <v>2028</v>
      </c>
      <c r="E859" s="77">
        <v>0</v>
      </c>
      <c r="F859" s="81">
        <v>0</v>
      </c>
      <c r="G859" s="87">
        <v>0</v>
      </c>
      <c r="H859" s="223">
        <v>0</v>
      </c>
      <c r="I859" s="87">
        <v>0</v>
      </c>
      <c r="J859" s="81">
        <v>0</v>
      </c>
      <c r="K859" s="80"/>
      <c r="L859" s="155"/>
      <c r="M859" s="194"/>
    </row>
    <row r="860" ht="21" customHeight="1" spans="1:13">
      <c r="A860" s="107" t="s">
        <v>354</v>
      </c>
      <c r="B860" s="75" t="s">
        <v>355</v>
      </c>
      <c r="C860" s="85"/>
      <c r="D860" s="145">
        <v>2018</v>
      </c>
      <c r="E860" s="88">
        <f t="shared" si="89"/>
        <v>0</v>
      </c>
      <c r="F860" s="89">
        <v>0</v>
      </c>
      <c r="G860" s="88">
        <v>0</v>
      </c>
      <c r="H860" s="89">
        <v>0</v>
      </c>
      <c r="I860" s="88">
        <v>0</v>
      </c>
      <c r="J860" s="89">
        <v>0</v>
      </c>
      <c r="K860" s="80" t="s">
        <v>356</v>
      </c>
      <c r="L860" s="155" t="s">
        <v>35</v>
      </c>
      <c r="M860" s="143"/>
    </row>
    <row r="861" ht="21" customHeight="1" spans="1:13">
      <c r="A861" s="107"/>
      <c r="B861" s="75"/>
      <c r="C861" s="75"/>
      <c r="D861" s="80">
        <v>2019</v>
      </c>
      <c r="E861" s="77">
        <f t="shared" si="89"/>
        <v>0</v>
      </c>
      <c r="F861" s="86">
        <v>0</v>
      </c>
      <c r="G861" s="77">
        <v>0</v>
      </c>
      <c r="H861" s="86">
        <v>0</v>
      </c>
      <c r="I861" s="77">
        <v>0</v>
      </c>
      <c r="J861" s="86">
        <v>0</v>
      </c>
      <c r="K861" s="80"/>
      <c r="L861" s="155"/>
      <c r="M861" s="143"/>
    </row>
    <row r="862" ht="21" customHeight="1" spans="1:13">
      <c r="A862" s="107"/>
      <c r="B862" s="75"/>
      <c r="C862" s="75"/>
      <c r="D862" s="80">
        <v>2020</v>
      </c>
      <c r="E862" s="77">
        <f t="shared" si="89"/>
        <v>0</v>
      </c>
      <c r="F862" s="86">
        <v>0</v>
      </c>
      <c r="G862" s="77">
        <v>0</v>
      </c>
      <c r="H862" s="86">
        <v>0</v>
      </c>
      <c r="I862" s="77">
        <v>0</v>
      </c>
      <c r="J862" s="86">
        <v>0</v>
      </c>
      <c r="K862" s="80"/>
      <c r="L862" s="155"/>
      <c r="M862" s="143"/>
    </row>
    <row r="863" ht="21" customHeight="1" spans="1:13">
      <c r="A863" s="107"/>
      <c r="B863" s="75"/>
      <c r="C863" s="75"/>
      <c r="D863" s="80">
        <v>2021</v>
      </c>
      <c r="E863" s="77">
        <f t="shared" si="89"/>
        <v>0</v>
      </c>
      <c r="F863" s="86">
        <v>0</v>
      </c>
      <c r="G863" s="77">
        <v>0</v>
      </c>
      <c r="H863" s="86">
        <v>0</v>
      </c>
      <c r="I863" s="77">
        <v>0</v>
      </c>
      <c r="J863" s="86">
        <v>0</v>
      </c>
      <c r="K863" s="80"/>
      <c r="L863" s="155"/>
      <c r="M863" s="143"/>
    </row>
    <row r="864" ht="21" customHeight="1" spans="1:13">
      <c r="A864" s="107"/>
      <c r="B864" s="75"/>
      <c r="C864" s="75"/>
      <c r="D864" s="80">
        <v>2022</v>
      </c>
      <c r="E864" s="77">
        <f t="shared" si="89"/>
        <v>0</v>
      </c>
      <c r="F864" s="86">
        <v>0</v>
      </c>
      <c r="G864" s="77">
        <v>0</v>
      </c>
      <c r="H864" s="86">
        <v>0</v>
      </c>
      <c r="I864" s="77">
        <v>0</v>
      </c>
      <c r="J864" s="86">
        <v>0</v>
      </c>
      <c r="K864" s="80"/>
      <c r="L864" s="155"/>
      <c r="M864" s="143"/>
    </row>
    <row r="865" ht="21" customHeight="1" spans="1:13">
      <c r="A865" s="107"/>
      <c r="B865" s="75"/>
      <c r="C865" s="75"/>
      <c r="D865" s="80">
        <v>2023</v>
      </c>
      <c r="E865" s="77">
        <f t="shared" si="89"/>
        <v>5865.7</v>
      </c>
      <c r="F865" s="86">
        <v>0</v>
      </c>
      <c r="G865" s="77">
        <v>0</v>
      </c>
      <c r="H865" s="81">
        <f>3526+1786.1+553.6</f>
        <v>5865.7</v>
      </c>
      <c r="I865" s="77">
        <v>0</v>
      </c>
      <c r="J865" s="86">
        <v>0</v>
      </c>
      <c r="K865" s="80"/>
      <c r="L865" s="155"/>
      <c r="M865" s="143"/>
    </row>
    <row r="866" ht="21" customHeight="1" spans="1:13">
      <c r="A866" s="107"/>
      <c r="B866" s="75"/>
      <c r="C866" s="75"/>
      <c r="D866" s="80">
        <v>2024</v>
      </c>
      <c r="E866" s="77">
        <f t="shared" ref="E866:E876" si="91">F866+G866+H866+J866</f>
        <v>0</v>
      </c>
      <c r="F866" s="86">
        <v>0</v>
      </c>
      <c r="G866" s="77">
        <v>0</v>
      </c>
      <c r="H866" s="81">
        <v>0</v>
      </c>
      <c r="I866" s="77">
        <v>0</v>
      </c>
      <c r="J866" s="86">
        <v>0</v>
      </c>
      <c r="K866" s="80"/>
      <c r="L866" s="155"/>
      <c r="M866" s="143"/>
    </row>
    <row r="867" ht="21" customHeight="1" spans="1:13">
      <c r="A867" s="107"/>
      <c r="B867" s="75"/>
      <c r="C867" s="75"/>
      <c r="D867" s="80">
        <v>2025</v>
      </c>
      <c r="E867" s="77">
        <f t="shared" si="91"/>
        <v>0</v>
      </c>
      <c r="F867" s="81">
        <v>0</v>
      </c>
      <c r="G867" s="77">
        <v>0</v>
      </c>
      <c r="H867" s="81">
        <v>0</v>
      </c>
      <c r="I867" s="77">
        <v>0</v>
      </c>
      <c r="J867" s="81">
        <v>0</v>
      </c>
      <c r="K867" s="80"/>
      <c r="L867" s="155"/>
      <c r="M867" s="143"/>
    </row>
    <row r="868" ht="21" customHeight="1" spans="1:13">
      <c r="A868" s="107"/>
      <c r="B868" s="75"/>
      <c r="C868" s="75"/>
      <c r="D868" s="80">
        <v>2026</v>
      </c>
      <c r="E868" s="77">
        <f t="shared" ref="E868" si="92">F868+G868+H868+J868</f>
        <v>0</v>
      </c>
      <c r="F868" s="81">
        <v>0</v>
      </c>
      <c r="G868" s="77">
        <v>0</v>
      </c>
      <c r="H868" s="81">
        <v>0</v>
      </c>
      <c r="I868" s="77">
        <v>0</v>
      </c>
      <c r="J868" s="81">
        <v>0</v>
      </c>
      <c r="K868" s="80"/>
      <c r="L868" s="155"/>
      <c r="M868" s="143"/>
    </row>
    <row r="869" ht="21" customHeight="1" spans="1:13">
      <c r="A869" s="107"/>
      <c r="B869" s="75"/>
      <c r="C869" s="75"/>
      <c r="D869" s="80">
        <v>2027</v>
      </c>
      <c r="E869" s="77">
        <f t="shared" si="91"/>
        <v>0</v>
      </c>
      <c r="F869" s="81">
        <v>0</v>
      </c>
      <c r="G869" s="77">
        <v>0</v>
      </c>
      <c r="H869" s="81">
        <v>0</v>
      </c>
      <c r="I869" s="77">
        <v>0</v>
      </c>
      <c r="J869" s="81">
        <v>0</v>
      </c>
      <c r="K869" s="80"/>
      <c r="L869" s="155"/>
      <c r="M869" s="143"/>
    </row>
    <row r="870" ht="21" customHeight="1" spans="1:13">
      <c r="A870" s="107"/>
      <c r="B870" s="75"/>
      <c r="C870" s="75"/>
      <c r="D870" s="80">
        <v>2028</v>
      </c>
      <c r="E870" s="77"/>
      <c r="F870" s="81"/>
      <c r="G870" s="77"/>
      <c r="H870" s="81"/>
      <c r="I870" s="77"/>
      <c r="J870" s="81"/>
      <c r="K870" s="80"/>
      <c r="L870" s="155"/>
      <c r="M870" s="143"/>
    </row>
    <row r="871" ht="21" customHeight="1" spans="1:13">
      <c r="A871" s="107" t="s">
        <v>357</v>
      </c>
      <c r="B871" s="75" t="s">
        <v>358</v>
      </c>
      <c r="C871" s="75"/>
      <c r="D871" s="80">
        <v>2018</v>
      </c>
      <c r="E871" s="77">
        <f t="shared" si="91"/>
        <v>0</v>
      </c>
      <c r="F871" s="86">
        <v>0</v>
      </c>
      <c r="G871" s="77">
        <v>0</v>
      </c>
      <c r="H871" s="86">
        <v>0</v>
      </c>
      <c r="I871" s="77">
        <v>0</v>
      </c>
      <c r="J871" s="86">
        <v>0</v>
      </c>
      <c r="K871" s="80" t="s">
        <v>359</v>
      </c>
      <c r="L871" s="155" t="s">
        <v>35</v>
      </c>
      <c r="M871" s="143"/>
    </row>
    <row r="872" ht="21" customHeight="1" spans="1:13">
      <c r="A872" s="107"/>
      <c r="B872" s="75"/>
      <c r="C872" s="75"/>
      <c r="D872" s="80">
        <v>2019</v>
      </c>
      <c r="E872" s="77">
        <f t="shared" si="91"/>
        <v>0</v>
      </c>
      <c r="F872" s="86">
        <v>0</v>
      </c>
      <c r="G872" s="77">
        <v>0</v>
      </c>
      <c r="H872" s="86">
        <v>0</v>
      </c>
      <c r="I872" s="77">
        <v>0</v>
      </c>
      <c r="J872" s="86">
        <v>0</v>
      </c>
      <c r="K872" s="80"/>
      <c r="L872" s="155"/>
      <c r="M872" s="143"/>
    </row>
    <row r="873" ht="21" customHeight="1" spans="1:13">
      <c r="A873" s="107"/>
      <c r="B873" s="75"/>
      <c r="C873" s="75"/>
      <c r="D873" s="80">
        <v>2020</v>
      </c>
      <c r="E873" s="77">
        <f t="shared" si="91"/>
        <v>0</v>
      </c>
      <c r="F873" s="86">
        <v>0</v>
      </c>
      <c r="G873" s="77">
        <v>0</v>
      </c>
      <c r="H873" s="86">
        <v>0</v>
      </c>
      <c r="I873" s="77">
        <v>0</v>
      </c>
      <c r="J873" s="86">
        <v>0</v>
      </c>
      <c r="K873" s="80"/>
      <c r="L873" s="155"/>
      <c r="M873" s="143"/>
    </row>
    <row r="874" ht="21" customHeight="1" spans="1:13">
      <c r="A874" s="107"/>
      <c r="B874" s="75"/>
      <c r="C874" s="75"/>
      <c r="D874" s="80">
        <v>2021</v>
      </c>
      <c r="E874" s="77">
        <f t="shared" si="91"/>
        <v>0</v>
      </c>
      <c r="F874" s="86">
        <v>0</v>
      </c>
      <c r="G874" s="77">
        <v>0</v>
      </c>
      <c r="H874" s="86">
        <v>0</v>
      </c>
      <c r="I874" s="77">
        <v>0</v>
      </c>
      <c r="J874" s="86">
        <v>0</v>
      </c>
      <c r="K874" s="80"/>
      <c r="L874" s="155"/>
      <c r="M874" s="143"/>
    </row>
    <row r="875" ht="21" customHeight="1" spans="1:13">
      <c r="A875" s="107"/>
      <c r="B875" s="75"/>
      <c r="C875" s="75"/>
      <c r="D875" s="80">
        <v>2022</v>
      </c>
      <c r="E875" s="77">
        <f t="shared" si="91"/>
        <v>0</v>
      </c>
      <c r="F875" s="86">
        <v>0</v>
      </c>
      <c r="G875" s="77">
        <v>0</v>
      </c>
      <c r="H875" s="86">
        <v>0</v>
      </c>
      <c r="I875" s="77">
        <v>0</v>
      </c>
      <c r="J875" s="86">
        <v>0</v>
      </c>
      <c r="K875" s="80"/>
      <c r="L875" s="155"/>
      <c r="M875" s="143"/>
    </row>
    <row r="876" ht="21" customHeight="1" spans="1:13">
      <c r="A876" s="107"/>
      <c r="B876" s="75"/>
      <c r="C876" s="75"/>
      <c r="D876" s="80">
        <v>2023</v>
      </c>
      <c r="E876" s="77">
        <f t="shared" si="91"/>
        <v>3300.2</v>
      </c>
      <c r="F876" s="86">
        <v>0</v>
      </c>
      <c r="G876" s="77">
        <v>0</v>
      </c>
      <c r="H876" s="81">
        <v>3300.2</v>
      </c>
      <c r="I876" s="77">
        <v>0</v>
      </c>
      <c r="J876" s="86">
        <v>0</v>
      </c>
      <c r="K876" s="80"/>
      <c r="L876" s="155"/>
      <c r="M876" s="143"/>
    </row>
    <row r="877" ht="21" customHeight="1" spans="1:13">
      <c r="A877" s="107"/>
      <c r="B877" s="75"/>
      <c r="C877" s="75"/>
      <c r="D877" s="80">
        <v>2024</v>
      </c>
      <c r="E877" s="77">
        <f t="shared" ref="E877:E880" si="93">F877+G877+H877+J877</f>
        <v>0</v>
      </c>
      <c r="F877" s="86">
        <v>0</v>
      </c>
      <c r="G877" s="77">
        <v>0</v>
      </c>
      <c r="H877" s="81">
        <v>0</v>
      </c>
      <c r="I877" s="77">
        <v>0</v>
      </c>
      <c r="J877" s="86">
        <v>0</v>
      </c>
      <c r="K877" s="80"/>
      <c r="L877" s="155"/>
      <c r="M877" s="143"/>
    </row>
    <row r="878" ht="21" customHeight="1" spans="1:13">
      <c r="A878" s="107"/>
      <c r="B878" s="75"/>
      <c r="C878" s="75"/>
      <c r="D878" s="80">
        <v>2025</v>
      </c>
      <c r="E878" s="77">
        <f t="shared" si="93"/>
        <v>0</v>
      </c>
      <c r="F878" s="81">
        <v>0</v>
      </c>
      <c r="G878" s="77">
        <v>0</v>
      </c>
      <c r="H878" s="81">
        <v>0</v>
      </c>
      <c r="I878" s="77">
        <v>0</v>
      </c>
      <c r="J878" s="81">
        <v>0</v>
      </c>
      <c r="K878" s="80"/>
      <c r="L878" s="155"/>
      <c r="M878" s="143"/>
    </row>
    <row r="879" ht="21" customHeight="1" spans="1:13">
      <c r="A879" s="107"/>
      <c r="B879" s="75"/>
      <c r="C879" s="75"/>
      <c r="D879" s="80">
        <v>2026</v>
      </c>
      <c r="E879" s="77">
        <f t="shared" si="93"/>
        <v>0</v>
      </c>
      <c r="F879" s="81">
        <v>0</v>
      </c>
      <c r="G879" s="77">
        <v>0</v>
      </c>
      <c r="H879" s="81">
        <v>0</v>
      </c>
      <c r="I879" s="77">
        <v>0</v>
      </c>
      <c r="J879" s="81">
        <v>0</v>
      </c>
      <c r="K879" s="80"/>
      <c r="L879" s="155"/>
      <c r="M879" s="143"/>
    </row>
    <row r="880" ht="21" customHeight="1" spans="1:13">
      <c r="A880" s="107"/>
      <c r="B880" s="75"/>
      <c r="C880" s="75"/>
      <c r="D880" s="80">
        <v>2027</v>
      </c>
      <c r="E880" s="77">
        <f t="shared" si="93"/>
        <v>0</v>
      </c>
      <c r="F880" s="81">
        <v>0</v>
      </c>
      <c r="G880" s="77">
        <v>0</v>
      </c>
      <c r="H880" s="81">
        <v>0</v>
      </c>
      <c r="I880" s="77">
        <v>0</v>
      </c>
      <c r="J880" s="81">
        <v>0</v>
      </c>
      <c r="K880" s="80"/>
      <c r="L880" s="155"/>
      <c r="M880" s="143"/>
    </row>
    <row r="881" ht="21" customHeight="1" spans="1:13">
      <c r="A881" s="107"/>
      <c r="B881" s="75"/>
      <c r="C881" s="75"/>
      <c r="D881" s="80">
        <v>2028</v>
      </c>
      <c r="E881" s="77">
        <v>0</v>
      </c>
      <c r="F881" s="81">
        <v>0</v>
      </c>
      <c r="G881" s="77">
        <v>0</v>
      </c>
      <c r="H881" s="81">
        <v>0</v>
      </c>
      <c r="I881" s="77">
        <v>0</v>
      </c>
      <c r="J881" s="81">
        <v>0</v>
      </c>
      <c r="K881" s="80"/>
      <c r="L881" s="155"/>
      <c r="M881" s="143"/>
    </row>
    <row r="882" ht="21" customHeight="1" spans="1:13">
      <c r="A882" s="107" t="s">
        <v>360</v>
      </c>
      <c r="B882" s="75" t="s">
        <v>361</v>
      </c>
      <c r="C882" s="75"/>
      <c r="D882" s="80">
        <v>2018</v>
      </c>
      <c r="E882" s="77">
        <f t="shared" ref="E882:E887" si="94">F882+G882+H882+J882</f>
        <v>0</v>
      </c>
      <c r="F882" s="86">
        <v>0</v>
      </c>
      <c r="G882" s="77">
        <v>0</v>
      </c>
      <c r="H882" s="86">
        <v>0</v>
      </c>
      <c r="I882" s="77">
        <v>0</v>
      </c>
      <c r="J882" s="86">
        <v>0</v>
      </c>
      <c r="K882" s="80" t="s">
        <v>362</v>
      </c>
      <c r="L882" s="155" t="s">
        <v>35</v>
      </c>
      <c r="M882" s="143"/>
    </row>
    <row r="883" ht="21" customHeight="1" spans="1:13">
      <c r="A883" s="107"/>
      <c r="B883" s="75"/>
      <c r="C883" s="75"/>
      <c r="D883" s="80">
        <v>2019</v>
      </c>
      <c r="E883" s="77">
        <f t="shared" si="94"/>
        <v>0</v>
      </c>
      <c r="F883" s="86">
        <v>0</v>
      </c>
      <c r="G883" s="77">
        <v>0</v>
      </c>
      <c r="H883" s="86">
        <v>0</v>
      </c>
      <c r="I883" s="77">
        <v>0</v>
      </c>
      <c r="J883" s="86">
        <v>0</v>
      </c>
      <c r="K883" s="80"/>
      <c r="L883" s="155"/>
      <c r="M883" s="143"/>
    </row>
    <row r="884" ht="21" customHeight="1" spans="1:13">
      <c r="A884" s="107"/>
      <c r="B884" s="75"/>
      <c r="C884" s="75"/>
      <c r="D884" s="80">
        <v>2020</v>
      </c>
      <c r="E884" s="77">
        <f t="shared" si="94"/>
        <v>0</v>
      </c>
      <c r="F884" s="86">
        <v>0</v>
      </c>
      <c r="G884" s="77">
        <v>0</v>
      </c>
      <c r="H884" s="86">
        <v>0</v>
      </c>
      <c r="I884" s="77">
        <v>0</v>
      </c>
      <c r="J884" s="86">
        <v>0</v>
      </c>
      <c r="K884" s="80"/>
      <c r="L884" s="155"/>
      <c r="M884" s="143"/>
    </row>
    <row r="885" ht="21" customHeight="1" spans="1:13">
      <c r="A885" s="107"/>
      <c r="B885" s="75"/>
      <c r="C885" s="75"/>
      <c r="D885" s="80">
        <v>2021</v>
      </c>
      <c r="E885" s="77">
        <f t="shared" si="94"/>
        <v>0</v>
      </c>
      <c r="F885" s="86">
        <v>0</v>
      </c>
      <c r="G885" s="77">
        <v>0</v>
      </c>
      <c r="H885" s="86">
        <v>0</v>
      </c>
      <c r="I885" s="77">
        <v>0</v>
      </c>
      <c r="J885" s="86">
        <v>0</v>
      </c>
      <c r="K885" s="80"/>
      <c r="L885" s="155"/>
      <c r="M885" s="143"/>
    </row>
    <row r="886" ht="21" customHeight="1" spans="1:13">
      <c r="A886" s="107"/>
      <c r="B886" s="75"/>
      <c r="C886" s="75"/>
      <c r="D886" s="80">
        <v>2022</v>
      </c>
      <c r="E886" s="77">
        <f t="shared" si="94"/>
        <v>0</v>
      </c>
      <c r="F886" s="86">
        <v>0</v>
      </c>
      <c r="G886" s="77">
        <v>0</v>
      </c>
      <c r="H886" s="86">
        <v>0</v>
      </c>
      <c r="I886" s="77">
        <v>0</v>
      </c>
      <c r="J886" s="86">
        <v>0</v>
      </c>
      <c r="K886" s="80"/>
      <c r="L886" s="155"/>
      <c r="M886" s="143"/>
    </row>
    <row r="887" ht="21" customHeight="1" spans="1:13">
      <c r="A887" s="107"/>
      <c r="B887" s="75"/>
      <c r="C887" s="75"/>
      <c r="D887" s="80">
        <v>2023</v>
      </c>
      <c r="E887" s="77">
        <f t="shared" si="94"/>
        <v>0</v>
      </c>
      <c r="F887" s="86">
        <v>0</v>
      </c>
      <c r="G887" s="77">
        <v>0</v>
      </c>
      <c r="H887" s="81">
        <v>0</v>
      </c>
      <c r="I887" s="77">
        <v>0</v>
      </c>
      <c r="J887" s="86">
        <v>0</v>
      </c>
      <c r="K887" s="80"/>
      <c r="L887" s="155"/>
      <c r="M887" s="143"/>
    </row>
    <row r="888" ht="21" customHeight="1" spans="1:13">
      <c r="A888" s="107"/>
      <c r="B888" s="75"/>
      <c r="C888" s="75"/>
      <c r="D888" s="80">
        <v>2024</v>
      </c>
      <c r="E888" s="77">
        <f t="shared" ref="E888:E891" si="95">F888+G888+H888+J888</f>
        <v>0</v>
      </c>
      <c r="F888" s="86">
        <v>0</v>
      </c>
      <c r="G888" s="77">
        <v>0</v>
      </c>
      <c r="H888" s="223">
        <v>0</v>
      </c>
      <c r="I888" s="87">
        <v>0</v>
      </c>
      <c r="J888" s="86">
        <v>0</v>
      </c>
      <c r="K888" s="80"/>
      <c r="L888" s="155"/>
      <c r="M888" s="143"/>
    </row>
    <row r="889" ht="21" customHeight="1" spans="1:13">
      <c r="A889" s="107"/>
      <c r="B889" s="75"/>
      <c r="C889" s="75"/>
      <c r="D889" s="80">
        <v>2025</v>
      </c>
      <c r="E889" s="77">
        <f t="shared" si="95"/>
        <v>0</v>
      </c>
      <c r="F889" s="81">
        <v>0</v>
      </c>
      <c r="G889" s="77">
        <v>0</v>
      </c>
      <c r="H889" s="81">
        <v>0</v>
      </c>
      <c r="I889" s="77">
        <v>0</v>
      </c>
      <c r="J889" s="81">
        <v>0</v>
      </c>
      <c r="K889" s="80"/>
      <c r="L889" s="155"/>
      <c r="M889" s="143"/>
    </row>
    <row r="890" ht="21" customHeight="1" spans="1:13">
      <c r="A890" s="107"/>
      <c r="B890" s="75"/>
      <c r="C890" s="75"/>
      <c r="D890" s="80">
        <v>2026</v>
      </c>
      <c r="E890" s="77">
        <f t="shared" si="95"/>
        <v>0</v>
      </c>
      <c r="F890" s="81">
        <v>0</v>
      </c>
      <c r="G890" s="77">
        <v>0</v>
      </c>
      <c r="H890" s="81">
        <v>0</v>
      </c>
      <c r="I890" s="77">
        <v>0</v>
      </c>
      <c r="J890" s="81">
        <v>0</v>
      </c>
      <c r="K890" s="80"/>
      <c r="L890" s="155"/>
      <c r="M890" s="143"/>
    </row>
    <row r="891" ht="21" customHeight="1" spans="1:13">
      <c r="A891" s="107"/>
      <c r="B891" s="75"/>
      <c r="C891" s="75"/>
      <c r="D891" s="80">
        <v>2027</v>
      </c>
      <c r="E891" s="77">
        <f t="shared" si="95"/>
        <v>0</v>
      </c>
      <c r="F891" s="81">
        <v>0</v>
      </c>
      <c r="G891" s="77">
        <v>0</v>
      </c>
      <c r="H891" s="81">
        <v>0</v>
      </c>
      <c r="I891" s="77">
        <v>0</v>
      </c>
      <c r="J891" s="81">
        <v>0</v>
      </c>
      <c r="K891" s="80"/>
      <c r="L891" s="155"/>
      <c r="M891" s="143"/>
    </row>
    <row r="892" s="28" customFormat="1" ht="21" customHeight="1" spans="1:13">
      <c r="A892" s="107"/>
      <c r="B892" s="75"/>
      <c r="C892" s="75"/>
      <c r="D892" s="80">
        <v>2028</v>
      </c>
      <c r="E892" s="77">
        <v>0</v>
      </c>
      <c r="F892" s="81">
        <v>0</v>
      </c>
      <c r="G892" s="77">
        <v>0</v>
      </c>
      <c r="H892" s="81">
        <v>0</v>
      </c>
      <c r="I892" s="77">
        <v>0</v>
      </c>
      <c r="J892" s="81">
        <v>0</v>
      </c>
      <c r="K892" s="80"/>
      <c r="L892" s="155"/>
      <c r="M892" s="224"/>
    </row>
    <row r="893" ht="18" customHeight="1" spans="1:13">
      <c r="A893" s="107" t="s">
        <v>363</v>
      </c>
      <c r="B893" s="75" t="s">
        <v>364</v>
      </c>
      <c r="C893" s="75"/>
      <c r="D893" s="80">
        <v>2018</v>
      </c>
      <c r="E893" s="77">
        <f t="shared" ref="E893:E898" si="96">F893+G893+H893+J893</f>
        <v>0</v>
      </c>
      <c r="F893" s="86">
        <v>0</v>
      </c>
      <c r="G893" s="77">
        <v>0</v>
      </c>
      <c r="H893" s="86">
        <v>0</v>
      </c>
      <c r="I893" s="77">
        <v>0</v>
      </c>
      <c r="J893" s="86">
        <v>0</v>
      </c>
      <c r="K893" s="80" t="s">
        <v>362</v>
      </c>
      <c r="L893" s="155" t="s">
        <v>35</v>
      </c>
      <c r="M893" s="143"/>
    </row>
    <row r="894" ht="18" customHeight="1" spans="1:13">
      <c r="A894" s="107"/>
      <c r="B894" s="75"/>
      <c r="C894" s="75"/>
      <c r="D894" s="80">
        <v>2019</v>
      </c>
      <c r="E894" s="77">
        <f t="shared" si="96"/>
        <v>0</v>
      </c>
      <c r="F894" s="86">
        <v>0</v>
      </c>
      <c r="G894" s="77">
        <v>0</v>
      </c>
      <c r="H894" s="86">
        <v>0</v>
      </c>
      <c r="I894" s="77">
        <v>0</v>
      </c>
      <c r="J894" s="86">
        <v>0</v>
      </c>
      <c r="K894" s="80"/>
      <c r="L894" s="155"/>
      <c r="M894" s="143"/>
    </row>
    <row r="895" ht="18" customHeight="1" spans="1:13">
      <c r="A895" s="107"/>
      <c r="B895" s="75"/>
      <c r="C895" s="75"/>
      <c r="D895" s="80">
        <v>2020</v>
      </c>
      <c r="E895" s="77">
        <f t="shared" si="96"/>
        <v>0</v>
      </c>
      <c r="F895" s="86">
        <v>0</v>
      </c>
      <c r="G895" s="77">
        <v>0</v>
      </c>
      <c r="H895" s="86">
        <v>0</v>
      </c>
      <c r="I895" s="77">
        <v>0</v>
      </c>
      <c r="J895" s="86">
        <v>0</v>
      </c>
      <c r="K895" s="80"/>
      <c r="L895" s="155"/>
      <c r="M895" s="143"/>
    </row>
    <row r="896" ht="18" customHeight="1" spans="1:13">
      <c r="A896" s="107"/>
      <c r="B896" s="75"/>
      <c r="C896" s="75"/>
      <c r="D896" s="80">
        <v>2021</v>
      </c>
      <c r="E896" s="77">
        <f t="shared" si="96"/>
        <v>0</v>
      </c>
      <c r="F896" s="86">
        <v>0</v>
      </c>
      <c r="G896" s="77">
        <v>0</v>
      </c>
      <c r="H896" s="86">
        <v>0</v>
      </c>
      <c r="I896" s="77">
        <v>0</v>
      </c>
      <c r="J896" s="86">
        <v>0</v>
      </c>
      <c r="K896" s="80"/>
      <c r="L896" s="155"/>
      <c r="M896" s="143"/>
    </row>
    <row r="897" ht="18" customHeight="1" spans="1:13">
      <c r="A897" s="107"/>
      <c r="B897" s="75"/>
      <c r="C897" s="75"/>
      <c r="D897" s="80">
        <v>2022</v>
      </c>
      <c r="E897" s="77">
        <f t="shared" si="96"/>
        <v>0</v>
      </c>
      <c r="F897" s="86">
        <v>0</v>
      </c>
      <c r="G897" s="77">
        <v>0</v>
      </c>
      <c r="H897" s="86">
        <v>0</v>
      </c>
      <c r="I897" s="77">
        <v>0</v>
      </c>
      <c r="J897" s="86">
        <v>0</v>
      </c>
      <c r="K897" s="80"/>
      <c r="L897" s="155"/>
      <c r="M897" s="143"/>
    </row>
    <row r="898" ht="18" customHeight="1" spans="1:13">
      <c r="A898" s="107"/>
      <c r="B898" s="75"/>
      <c r="C898" s="75"/>
      <c r="D898" s="80">
        <v>2023</v>
      </c>
      <c r="E898" s="77">
        <f t="shared" si="96"/>
        <v>240</v>
      </c>
      <c r="F898" s="86">
        <v>0</v>
      </c>
      <c r="G898" s="77">
        <v>0</v>
      </c>
      <c r="H898" s="81">
        <f>150+90</f>
        <v>240</v>
      </c>
      <c r="I898" s="77">
        <v>0</v>
      </c>
      <c r="J898" s="86">
        <v>0</v>
      </c>
      <c r="K898" s="80"/>
      <c r="L898" s="155"/>
      <c r="M898" s="143"/>
    </row>
    <row r="899" ht="18" customHeight="1" spans="1:13">
      <c r="A899" s="107"/>
      <c r="B899" s="75"/>
      <c r="C899" s="75"/>
      <c r="D899" s="80">
        <v>2024</v>
      </c>
      <c r="E899" s="77">
        <f t="shared" ref="E899:E902" si="97">F899+G899+H899+J899</f>
        <v>445</v>
      </c>
      <c r="F899" s="86">
        <v>0</v>
      </c>
      <c r="G899" s="77">
        <v>0</v>
      </c>
      <c r="H899" s="223">
        <f>445</f>
        <v>445</v>
      </c>
      <c r="I899" s="87">
        <v>0</v>
      </c>
      <c r="J899" s="86">
        <v>0</v>
      </c>
      <c r="K899" s="80"/>
      <c r="L899" s="155"/>
      <c r="M899" s="143"/>
    </row>
    <row r="900" ht="18" customHeight="1" spans="1:13">
      <c r="A900" s="107"/>
      <c r="B900" s="75"/>
      <c r="C900" s="75"/>
      <c r="D900" s="80">
        <v>2025</v>
      </c>
      <c r="E900" s="77">
        <f t="shared" si="97"/>
        <v>0</v>
      </c>
      <c r="F900" s="81">
        <v>0</v>
      </c>
      <c r="G900" s="77">
        <v>0</v>
      </c>
      <c r="H900" s="81">
        <v>0</v>
      </c>
      <c r="I900" s="77">
        <v>0</v>
      </c>
      <c r="J900" s="81">
        <v>0</v>
      </c>
      <c r="K900" s="80"/>
      <c r="L900" s="155"/>
      <c r="M900" s="143"/>
    </row>
    <row r="901" ht="18" customHeight="1" spans="1:13">
      <c r="A901" s="107"/>
      <c r="B901" s="75"/>
      <c r="C901" s="75"/>
      <c r="D901" s="80">
        <v>2026</v>
      </c>
      <c r="E901" s="77">
        <f t="shared" si="97"/>
        <v>0</v>
      </c>
      <c r="F901" s="81">
        <v>0</v>
      </c>
      <c r="G901" s="77">
        <v>0</v>
      </c>
      <c r="H901" s="81">
        <v>0</v>
      </c>
      <c r="I901" s="77">
        <v>0</v>
      </c>
      <c r="J901" s="81">
        <v>0</v>
      </c>
      <c r="K901" s="80"/>
      <c r="L901" s="155"/>
      <c r="M901" s="143"/>
    </row>
    <row r="902" ht="18" customHeight="1" spans="1:13">
      <c r="A902" s="107"/>
      <c r="B902" s="75"/>
      <c r="C902" s="75"/>
      <c r="D902" s="80">
        <v>2027</v>
      </c>
      <c r="E902" s="77">
        <f t="shared" si="97"/>
        <v>0</v>
      </c>
      <c r="F902" s="81">
        <v>0</v>
      </c>
      <c r="G902" s="77">
        <v>0</v>
      </c>
      <c r="H902" s="81">
        <v>0</v>
      </c>
      <c r="I902" s="77">
        <v>0</v>
      </c>
      <c r="J902" s="81">
        <v>0</v>
      </c>
      <c r="K902" s="80"/>
      <c r="L902" s="155"/>
      <c r="M902" s="143"/>
    </row>
    <row r="903" s="23" customFormat="1" ht="18" customHeight="1" spans="1:13">
      <c r="A903" s="107"/>
      <c r="B903" s="75"/>
      <c r="C903" s="75"/>
      <c r="D903" s="80">
        <v>2028</v>
      </c>
      <c r="E903" s="77">
        <v>0</v>
      </c>
      <c r="F903" s="81">
        <v>0</v>
      </c>
      <c r="G903" s="77">
        <v>0</v>
      </c>
      <c r="H903" s="81">
        <v>0</v>
      </c>
      <c r="I903" s="77">
        <v>0</v>
      </c>
      <c r="J903" s="81">
        <v>0</v>
      </c>
      <c r="K903" s="80"/>
      <c r="L903" s="155"/>
      <c r="M903" s="194"/>
    </row>
    <row r="904" ht="18" customHeight="1" spans="1:13">
      <c r="A904" s="107" t="s">
        <v>365</v>
      </c>
      <c r="B904" s="75" t="s">
        <v>366</v>
      </c>
      <c r="C904" s="85"/>
      <c r="D904" s="145">
        <v>2018</v>
      </c>
      <c r="E904" s="88">
        <f t="shared" ref="E904:E910" si="98">F904+G904+H904+J904</f>
        <v>0</v>
      </c>
      <c r="F904" s="89">
        <v>0</v>
      </c>
      <c r="G904" s="88">
        <v>0</v>
      </c>
      <c r="H904" s="89">
        <v>0</v>
      </c>
      <c r="I904" s="88">
        <v>0</v>
      </c>
      <c r="J904" s="89">
        <v>0</v>
      </c>
      <c r="K904" s="80" t="s">
        <v>367</v>
      </c>
      <c r="L904" s="155" t="s">
        <v>35</v>
      </c>
      <c r="M904" s="143"/>
    </row>
    <row r="905" ht="18" customHeight="1" spans="1:13">
      <c r="A905" s="107"/>
      <c r="B905" s="75"/>
      <c r="C905" s="75"/>
      <c r="D905" s="80">
        <v>2019</v>
      </c>
      <c r="E905" s="77">
        <f t="shared" si="98"/>
        <v>0</v>
      </c>
      <c r="F905" s="86">
        <v>0</v>
      </c>
      <c r="G905" s="77">
        <v>0</v>
      </c>
      <c r="H905" s="86">
        <v>0</v>
      </c>
      <c r="I905" s="77">
        <v>0</v>
      </c>
      <c r="J905" s="86">
        <v>0</v>
      </c>
      <c r="K905" s="80"/>
      <c r="L905" s="155"/>
      <c r="M905" s="143"/>
    </row>
    <row r="906" ht="18" customHeight="1" spans="1:13">
      <c r="A906" s="107"/>
      <c r="B906" s="75"/>
      <c r="C906" s="75"/>
      <c r="D906" s="80">
        <v>2020</v>
      </c>
      <c r="E906" s="77">
        <f t="shared" si="98"/>
        <v>0</v>
      </c>
      <c r="F906" s="86">
        <v>0</v>
      </c>
      <c r="G906" s="77">
        <v>0</v>
      </c>
      <c r="H906" s="86">
        <v>0</v>
      </c>
      <c r="I906" s="77">
        <v>0</v>
      </c>
      <c r="J906" s="86">
        <v>0</v>
      </c>
      <c r="K906" s="80"/>
      <c r="L906" s="155"/>
      <c r="M906" s="143"/>
    </row>
    <row r="907" ht="18" customHeight="1" spans="1:13">
      <c r="A907" s="107"/>
      <c r="B907" s="75"/>
      <c r="C907" s="75"/>
      <c r="D907" s="80">
        <v>2021</v>
      </c>
      <c r="E907" s="77">
        <f t="shared" si="98"/>
        <v>0</v>
      </c>
      <c r="F907" s="86">
        <v>0</v>
      </c>
      <c r="G907" s="77">
        <v>0</v>
      </c>
      <c r="H907" s="86">
        <v>0</v>
      </c>
      <c r="I907" s="77">
        <v>0</v>
      </c>
      <c r="J907" s="86">
        <v>0</v>
      </c>
      <c r="K907" s="80"/>
      <c r="L907" s="155"/>
      <c r="M907" s="143"/>
    </row>
    <row r="908" ht="18" customHeight="1" spans="1:13">
      <c r="A908" s="107"/>
      <c r="B908" s="75"/>
      <c r="C908" s="75"/>
      <c r="D908" s="80">
        <v>2022</v>
      </c>
      <c r="E908" s="77">
        <f t="shared" si="98"/>
        <v>0</v>
      </c>
      <c r="F908" s="86">
        <v>0</v>
      </c>
      <c r="G908" s="77">
        <v>0</v>
      </c>
      <c r="H908" s="86">
        <v>0</v>
      </c>
      <c r="I908" s="77">
        <v>0</v>
      </c>
      <c r="J908" s="86">
        <v>0</v>
      </c>
      <c r="K908" s="80"/>
      <c r="L908" s="155"/>
      <c r="M908" s="143"/>
    </row>
    <row r="909" ht="18" customHeight="1" spans="1:13">
      <c r="A909" s="107"/>
      <c r="B909" s="75"/>
      <c r="C909" s="75"/>
      <c r="D909" s="80">
        <v>2023</v>
      </c>
      <c r="E909" s="77">
        <f t="shared" si="98"/>
        <v>50</v>
      </c>
      <c r="F909" s="86">
        <v>0</v>
      </c>
      <c r="G909" s="77">
        <v>0</v>
      </c>
      <c r="H909" s="81">
        <f>182.9-132.9</f>
        <v>50</v>
      </c>
      <c r="I909" s="77">
        <v>0</v>
      </c>
      <c r="J909" s="86">
        <v>0</v>
      </c>
      <c r="K909" s="80"/>
      <c r="L909" s="155"/>
      <c r="M909" s="143"/>
    </row>
    <row r="910" ht="18" customHeight="1" spans="1:13">
      <c r="A910" s="107"/>
      <c r="B910" s="75"/>
      <c r="C910" s="75"/>
      <c r="D910" s="80">
        <v>2024</v>
      </c>
      <c r="E910" s="77">
        <f t="shared" si="98"/>
        <v>170</v>
      </c>
      <c r="F910" s="86">
        <v>0</v>
      </c>
      <c r="G910" s="77">
        <v>0</v>
      </c>
      <c r="H910" s="223">
        <f>180-10</f>
        <v>170</v>
      </c>
      <c r="I910" s="87">
        <v>0</v>
      </c>
      <c r="J910" s="86">
        <v>0</v>
      </c>
      <c r="K910" s="80"/>
      <c r="L910" s="155"/>
      <c r="M910" s="143"/>
    </row>
    <row r="911" ht="18" customHeight="1" spans="1:13">
      <c r="A911" s="107"/>
      <c r="B911" s="75"/>
      <c r="C911" s="75"/>
      <c r="D911" s="80">
        <v>2025</v>
      </c>
      <c r="E911" s="77">
        <f t="shared" ref="E911:E913" si="99">F911+G911+H911+J911</f>
        <v>120.4</v>
      </c>
      <c r="F911" s="81">
        <v>0</v>
      </c>
      <c r="G911" s="77">
        <v>0</v>
      </c>
      <c r="H911" s="81">
        <f>106.1+4.3+10</f>
        <v>120.4</v>
      </c>
      <c r="I911" s="77">
        <v>0</v>
      </c>
      <c r="J911" s="81">
        <v>0</v>
      </c>
      <c r="K911" s="80"/>
      <c r="L911" s="155"/>
      <c r="M911" s="143"/>
    </row>
    <row r="912" ht="18" customHeight="1" spans="1:13">
      <c r="A912" s="107"/>
      <c r="B912" s="75"/>
      <c r="C912" s="75"/>
      <c r="D912" s="80">
        <v>2026</v>
      </c>
      <c r="E912" s="77">
        <f t="shared" si="99"/>
        <v>95.3</v>
      </c>
      <c r="F912" s="81">
        <v>0</v>
      </c>
      <c r="G912" s="77">
        <v>0</v>
      </c>
      <c r="H912" s="81">
        <v>95.3</v>
      </c>
      <c r="I912" s="77">
        <v>0</v>
      </c>
      <c r="J912" s="81">
        <v>0</v>
      </c>
      <c r="K912" s="80"/>
      <c r="L912" s="155"/>
      <c r="M912" s="143"/>
    </row>
    <row r="913" ht="18" customHeight="1" spans="1:13">
      <c r="A913" s="107"/>
      <c r="B913" s="75"/>
      <c r="C913" s="75"/>
      <c r="D913" s="80">
        <v>2027</v>
      </c>
      <c r="E913" s="77">
        <f t="shared" si="99"/>
        <v>99.1</v>
      </c>
      <c r="F913" s="81">
        <v>0</v>
      </c>
      <c r="G913" s="77">
        <v>0</v>
      </c>
      <c r="H913" s="81">
        <v>99.1</v>
      </c>
      <c r="I913" s="77">
        <v>0</v>
      </c>
      <c r="J913" s="81">
        <v>0</v>
      </c>
      <c r="K913" s="80"/>
      <c r="L913" s="155"/>
      <c r="M913" s="143"/>
    </row>
    <row r="914" ht="18" customHeight="1" spans="1:13">
      <c r="A914" s="107"/>
      <c r="B914" s="75"/>
      <c r="C914" s="75"/>
      <c r="D914" s="80">
        <v>2028</v>
      </c>
      <c r="E914" s="77">
        <f>F914+G914+H914+I914+J914</f>
        <v>95.3</v>
      </c>
      <c r="F914" s="81">
        <v>0</v>
      </c>
      <c r="G914" s="77">
        <v>0</v>
      </c>
      <c r="H914" s="81">
        <v>95.3</v>
      </c>
      <c r="I914" s="77">
        <v>0</v>
      </c>
      <c r="J914" s="81">
        <v>0</v>
      </c>
      <c r="K914" s="80"/>
      <c r="L914" s="155"/>
      <c r="M914" s="143"/>
    </row>
    <row r="915" ht="18" customHeight="1" spans="1:13">
      <c r="A915" s="107" t="s">
        <v>368</v>
      </c>
      <c r="B915" s="75" t="s">
        <v>369</v>
      </c>
      <c r="C915" s="75"/>
      <c r="D915" s="80">
        <v>2018</v>
      </c>
      <c r="E915" s="77">
        <v>0</v>
      </c>
      <c r="F915" s="77">
        <v>0</v>
      </c>
      <c r="G915" s="77">
        <v>0</v>
      </c>
      <c r="H915" s="77">
        <v>0</v>
      </c>
      <c r="I915" s="77">
        <v>0</v>
      </c>
      <c r="J915" s="77">
        <v>0</v>
      </c>
      <c r="K915" s="80" t="s">
        <v>370</v>
      </c>
      <c r="L915" s="155" t="s">
        <v>35</v>
      </c>
      <c r="M915" s="143"/>
    </row>
    <row r="916" ht="18" customHeight="1" spans="1:13">
      <c r="A916" s="107"/>
      <c r="B916" s="75"/>
      <c r="C916" s="75"/>
      <c r="D916" s="80">
        <v>2019</v>
      </c>
      <c r="E916" s="77">
        <v>0</v>
      </c>
      <c r="F916" s="77">
        <v>0</v>
      </c>
      <c r="G916" s="77">
        <v>0</v>
      </c>
      <c r="H916" s="77">
        <v>0</v>
      </c>
      <c r="I916" s="77">
        <v>0</v>
      </c>
      <c r="J916" s="77">
        <v>0</v>
      </c>
      <c r="K916" s="80"/>
      <c r="L916" s="155"/>
      <c r="M916" s="143"/>
    </row>
    <row r="917" ht="18" customHeight="1" spans="1:13">
      <c r="A917" s="107"/>
      <c r="B917" s="75"/>
      <c r="C917" s="75"/>
      <c r="D917" s="80">
        <v>2020</v>
      </c>
      <c r="E917" s="77">
        <v>0</v>
      </c>
      <c r="F917" s="77">
        <v>0</v>
      </c>
      <c r="G917" s="77">
        <v>0</v>
      </c>
      <c r="H917" s="77">
        <v>0</v>
      </c>
      <c r="I917" s="77">
        <v>0</v>
      </c>
      <c r="J917" s="77">
        <v>0</v>
      </c>
      <c r="K917" s="80"/>
      <c r="L917" s="155"/>
      <c r="M917" s="143"/>
    </row>
    <row r="918" ht="18" customHeight="1" spans="1:13">
      <c r="A918" s="107"/>
      <c r="B918" s="75"/>
      <c r="C918" s="75"/>
      <c r="D918" s="80">
        <v>2021</v>
      </c>
      <c r="E918" s="77">
        <v>0</v>
      </c>
      <c r="F918" s="77">
        <v>0</v>
      </c>
      <c r="G918" s="77">
        <v>0</v>
      </c>
      <c r="H918" s="77">
        <v>0</v>
      </c>
      <c r="I918" s="77">
        <v>0</v>
      </c>
      <c r="J918" s="77">
        <v>0</v>
      </c>
      <c r="K918" s="80"/>
      <c r="L918" s="155"/>
      <c r="M918" s="143"/>
    </row>
    <row r="919" ht="18" customHeight="1" spans="1:13">
      <c r="A919" s="107"/>
      <c r="B919" s="75"/>
      <c r="C919" s="75"/>
      <c r="D919" s="80">
        <v>2022</v>
      </c>
      <c r="E919" s="77">
        <v>0</v>
      </c>
      <c r="F919" s="77">
        <v>0</v>
      </c>
      <c r="G919" s="77">
        <v>0</v>
      </c>
      <c r="H919" s="77">
        <v>0</v>
      </c>
      <c r="I919" s="77">
        <v>0</v>
      </c>
      <c r="J919" s="77">
        <v>0</v>
      </c>
      <c r="K919" s="80"/>
      <c r="L919" s="155"/>
      <c r="M919" s="143"/>
    </row>
    <row r="920" ht="18" customHeight="1" spans="1:13">
      <c r="A920" s="107"/>
      <c r="B920" s="75"/>
      <c r="C920" s="75"/>
      <c r="D920" s="80">
        <v>2023</v>
      </c>
      <c r="E920" s="77">
        <f t="shared" ref="E920:E925" si="100">F920+G920+H920+I920+J920</f>
        <v>120</v>
      </c>
      <c r="F920" s="77">
        <v>0</v>
      </c>
      <c r="G920" s="77">
        <v>0</v>
      </c>
      <c r="H920" s="77">
        <v>120</v>
      </c>
      <c r="I920" s="77">
        <v>0</v>
      </c>
      <c r="J920" s="77">
        <v>0</v>
      </c>
      <c r="K920" s="80"/>
      <c r="L920" s="155"/>
      <c r="M920" s="143"/>
    </row>
    <row r="921" ht="18" customHeight="1" spans="1:13">
      <c r="A921" s="107"/>
      <c r="B921" s="75"/>
      <c r="C921" s="75"/>
      <c r="D921" s="80">
        <v>2024</v>
      </c>
      <c r="E921" s="77">
        <f t="shared" si="100"/>
        <v>292.9</v>
      </c>
      <c r="F921" s="77">
        <v>0</v>
      </c>
      <c r="G921" s="77">
        <v>0</v>
      </c>
      <c r="H921" s="87">
        <f>1440-1147.1</f>
        <v>292.9</v>
      </c>
      <c r="I921" s="77">
        <v>0</v>
      </c>
      <c r="J921" s="77">
        <v>0</v>
      </c>
      <c r="K921" s="80"/>
      <c r="L921" s="155"/>
      <c r="M921" s="143"/>
    </row>
    <row r="922" ht="18" customHeight="1" spans="1:13">
      <c r="A922" s="107"/>
      <c r="B922" s="75"/>
      <c r="C922" s="75"/>
      <c r="D922" s="80">
        <v>2025</v>
      </c>
      <c r="E922" s="77">
        <f t="shared" si="100"/>
        <v>494</v>
      </c>
      <c r="F922" s="77">
        <v>0</v>
      </c>
      <c r="G922" s="77">
        <v>0</v>
      </c>
      <c r="H922" s="87">
        <f>612-118</f>
        <v>494</v>
      </c>
      <c r="I922" s="77">
        <v>0</v>
      </c>
      <c r="J922" s="77">
        <v>0</v>
      </c>
      <c r="K922" s="80"/>
      <c r="L922" s="155"/>
      <c r="M922" s="143"/>
    </row>
    <row r="923" ht="18" customHeight="1" spans="1:13">
      <c r="A923" s="107"/>
      <c r="B923" s="75"/>
      <c r="C923" s="75"/>
      <c r="D923" s="75">
        <v>2026</v>
      </c>
      <c r="E923" s="77">
        <f t="shared" si="100"/>
        <v>480</v>
      </c>
      <c r="F923" s="77">
        <v>0</v>
      </c>
      <c r="G923" s="77">
        <v>0</v>
      </c>
      <c r="H923" s="87">
        <v>480</v>
      </c>
      <c r="I923" s="77">
        <v>0</v>
      </c>
      <c r="J923" s="77">
        <v>0</v>
      </c>
      <c r="K923" s="80"/>
      <c r="L923" s="155"/>
      <c r="M923" s="143"/>
    </row>
    <row r="924" ht="18" customHeight="1" spans="1:13">
      <c r="A924" s="107"/>
      <c r="B924" s="75"/>
      <c r="C924" s="75"/>
      <c r="D924" s="75">
        <v>2027</v>
      </c>
      <c r="E924" s="77">
        <f t="shared" si="100"/>
        <v>480</v>
      </c>
      <c r="F924" s="77">
        <v>0</v>
      </c>
      <c r="G924" s="77">
        <v>0</v>
      </c>
      <c r="H924" s="87">
        <v>480</v>
      </c>
      <c r="I924" s="77">
        <v>0</v>
      </c>
      <c r="J924" s="77">
        <v>0</v>
      </c>
      <c r="K924" s="80"/>
      <c r="L924" s="155"/>
      <c r="M924" s="143"/>
    </row>
    <row r="925" s="28" customFormat="1" ht="18" customHeight="1" spans="1:13">
      <c r="A925" s="107"/>
      <c r="B925" s="75"/>
      <c r="C925" s="75"/>
      <c r="D925" s="75">
        <v>2028</v>
      </c>
      <c r="E925" s="77">
        <f t="shared" si="100"/>
        <v>480</v>
      </c>
      <c r="F925" s="77">
        <v>0</v>
      </c>
      <c r="G925" s="77">
        <v>0</v>
      </c>
      <c r="H925" s="87">
        <v>480</v>
      </c>
      <c r="I925" s="77">
        <v>0</v>
      </c>
      <c r="J925" s="77">
        <v>0</v>
      </c>
      <c r="K925" s="80"/>
      <c r="L925" s="155"/>
      <c r="M925" s="224"/>
    </row>
    <row r="926" ht="18" customHeight="1" spans="1:13">
      <c r="A926" s="107" t="s">
        <v>371</v>
      </c>
      <c r="B926" s="75" t="s">
        <v>372</v>
      </c>
      <c r="C926" s="75"/>
      <c r="D926" s="80">
        <v>2018</v>
      </c>
      <c r="E926" s="77">
        <v>0</v>
      </c>
      <c r="F926" s="77">
        <v>0</v>
      </c>
      <c r="G926" s="77">
        <v>0</v>
      </c>
      <c r="H926" s="77">
        <v>0</v>
      </c>
      <c r="I926" s="77">
        <v>0</v>
      </c>
      <c r="J926" s="77">
        <v>0</v>
      </c>
      <c r="K926" s="80" t="s">
        <v>373</v>
      </c>
      <c r="L926" s="155" t="s">
        <v>35</v>
      </c>
      <c r="M926" s="143"/>
    </row>
    <row r="927" ht="18" customHeight="1" spans="1:13">
      <c r="A927" s="107"/>
      <c r="B927" s="75"/>
      <c r="C927" s="75"/>
      <c r="D927" s="80">
        <v>2019</v>
      </c>
      <c r="E927" s="77">
        <v>0</v>
      </c>
      <c r="F927" s="77">
        <v>0</v>
      </c>
      <c r="G927" s="77">
        <v>0</v>
      </c>
      <c r="H927" s="77">
        <v>0</v>
      </c>
      <c r="I927" s="77">
        <v>0</v>
      </c>
      <c r="J927" s="77">
        <v>0</v>
      </c>
      <c r="K927" s="80"/>
      <c r="L927" s="155"/>
      <c r="M927" s="143"/>
    </row>
    <row r="928" ht="18" customHeight="1" spans="1:13">
      <c r="A928" s="107"/>
      <c r="B928" s="75"/>
      <c r="C928" s="75"/>
      <c r="D928" s="80">
        <v>2020</v>
      </c>
      <c r="E928" s="77">
        <v>0</v>
      </c>
      <c r="F928" s="77">
        <v>0</v>
      </c>
      <c r="G928" s="77">
        <v>0</v>
      </c>
      <c r="H928" s="77">
        <v>0</v>
      </c>
      <c r="I928" s="77">
        <v>0</v>
      </c>
      <c r="J928" s="77">
        <v>0</v>
      </c>
      <c r="K928" s="80"/>
      <c r="L928" s="155"/>
      <c r="M928" s="143"/>
    </row>
    <row r="929" ht="18" customHeight="1" spans="1:13">
      <c r="A929" s="107"/>
      <c r="B929" s="75"/>
      <c r="C929" s="75"/>
      <c r="D929" s="80">
        <v>2021</v>
      </c>
      <c r="E929" s="77">
        <v>0</v>
      </c>
      <c r="F929" s="77">
        <v>0</v>
      </c>
      <c r="G929" s="77">
        <v>0</v>
      </c>
      <c r="H929" s="77">
        <v>0</v>
      </c>
      <c r="I929" s="77">
        <v>0</v>
      </c>
      <c r="J929" s="77">
        <v>0</v>
      </c>
      <c r="K929" s="80"/>
      <c r="L929" s="155"/>
      <c r="M929" s="143"/>
    </row>
    <row r="930" ht="18" customHeight="1" spans="1:13">
      <c r="A930" s="107"/>
      <c r="B930" s="75"/>
      <c r="C930" s="75"/>
      <c r="D930" s="80">
        <v>2022</v>
      </c>
      <c r="E930" s="77">
        <v>0</v>
      </c>
      <c r="F930" s="77">
        <v>0</v>
      </c>
      <c r="G930" s="77">
        <v>0</v>
      </c>
      <c r="H930" s="77">
        <v>0</v>
      </c>
      <c r="I930" s="77">
        <v>0</v>
      </c>
      <c r="J930" s="77">
        <v>0</v>
      </c>
      <c r="K930" s="80"/>
      <c r="L930" s="155"/>
      <c r="M930" s="143"/>
    </row>
    <row r="931" ht="18" customHeight="1" spans="1:13">
      <c r="A931" s="107"/>
      <c r="B931" s="75"/>
      <c r="C931" s="75"/>
      <c r="D931" s="80">
        <v>2023</v>
      </c>
      <c r="E931" s="77">
        <f>F931+G931+H931+I931+J931</f>
        <v>1000</v>
      </c>
      <c r="F931" s="77">
        <v>0</v>
      </c>
      <c r="G931" s="77">
        <v>0</v>
      </c>
      <c r="H931" s="77">
        <v>1000</v>
      </c>
      <c r="I931" s="77">
        <v>0</v>
      </c>
      <c r="J931" s="77">
        <v>0</v>
      </c>
      <c r="K931" s="80"/>
      <c r="L931" s="155"/>
      <c r="M931" s="143"/>
    </row>
    <row r="932" ht="18" customHeight="1" spans="1:13">
      <c r="A932" s="107"/>
      <c r="B932" s="75"/>
      <c r="C932" s="75"/>
      <c r="D932" s="80">
        <v>2024</v>
      </c>
      <c r="E932" s="77">
        <v>0</v>
      </c>
      <c r="F932" s="77">
        <v>0</v>
      </c>
      <c r="G932" s="77">
        <v>0</v>
      </c>
      <c r="H932" s="77">
        <v>0</v>
      </c>
      <c r="I932" s="77">
        <v>0</v>
      </c>
      <c r="J932" s="77">
        <v>0</v>
      </c>
      <c r="K932" s="80"/>
      <c r="L932" s="155"/>
      <c r="M932" s="143"/>
    </row>
    <row r="933" ht="18" customHeight="1" spans="1:13">
      <c r="A933" s="107"/>
      <c r="B933" s="75"/>
      <c r="C933" s="75"/>
      <c r="D933" s="80">
        <v>2025</v>
      </c>
      <c r="E933" s="77">
        <v>0</v>
      </c>
      <c r="F933" s="77">
        <v>0</v>
      </c>
      <c r="G933" s="77">
        <v>0</v>
      </c>
      <c r="H933" s="77">
        <v>0</v>
      </c>
      <c r="I933" s="77">
        <v>0</v>
      </c>
      <c r="J933" s="77">
        <v>0</v>
      </c>
      <c r="K933" s="80"/>
      <c r="L933" s="155"/>
      <c r="M933" s="143"/>
    </row>
    <row r="934" ht="18" customHeight="1" spans="1:13">
      <c r="A934" s="107"/>
      <c r="B934" s="75"/>
      <c r="C934" s="75"/>
      <c r="D934" s="80">
        <v>2026</v>
      </c>
      <c r="E934" s="77">
        <v>0</v>
      </c>
      <c r="F934" s="77">
        <v>0</v>
      </c>
      <c r="G934" s="77">
        <v>0</v>
      </c>
      <c r="H934" s="77">
        <v>0</v>
      </c>
      <c r="I934" s="77">
        <v>0</v>
      </c>
      <c r="J934" s="77">
        <v>0</v>
      </c>
      <c r="K934" s="80"/>
      <c r="L934" s="155"/>
      <c r="M934" s="143"/>
    </row>
    <row r="935" ht="18" customHeight="1" spans="1:13">
      <c r="A935" s="107"/>
      <c r="B935" s="75"/>
      <c r="C935" s="75"/>
      <c r="D935" s="80">
        <v>2027</v>
      </c>
      <c r="E935" s="77">
        <v>0</v>
      </c>
      <c r="F935" s="77">
        <v>0</v>
      </c>
      <c r="G935" s="77">
        <v>0</v>
      </c>
      <c r="H935" s="77">
        <v>0</v>
      </c>
      <c r="I935" s="77">
        <v>0</v>
      </c>
      <c r="J935" s="77">
        <v>0</v>
      </c>
      <c r="K935" s="80"/>
      <c r="L935" s="155"/>
      <c r="M935" s="143"/>
    </row>
    <row r="936" s="28" customFormat="1" ht="18" customHeight="1" spans="1:13">
      <c r="A936" s="107"/>
      <c r="B936" s="75"/>
      <c r="C936" s="75"/>
      <c r="D936" s="80">
        <v>2028</v>
      </c>
      <c r="E936" s="77">
        <v>0</v>
      </c>
      <c r="F936" s="77">
        <v>0</v>
      </c>
      <c r="G936" s="77">
        <v>0</v>
      </c>
      <c r="H936" s="77">
        <v>0</v>
      </c>
      <c r="I936" s="77">
        <v>0</v>
      </c>
      <c r="J936" s="77">
        <v>0</v>
      </c>
      <c r="K936" s="80"/>
      <c r="L936" s="155"/>
      <c r="M936" s="224"/>
    </row>
    <row r="937" s="29" customFormat="1" ht="18" customHeight="1" spans="1:13">
      <c r="A937" s="107" t="s">
        <v>374</v>
      </c>
      <c r="B937" s="75" t="s">
        <v>375</v>
      </c>
      <c r="C937" s="75"/>
      <c r="D937" s="80">
        <v>2018</v>
      </c>
      <c r="E937" s="77">
        <v>0</v>
      </c>
      <c r="F937" s="77">
        <v>0</v>
      </c>
      <c r="G937" s="77">
        <v>0</v>
      </c>
      <c r="H937" s="77">
        <v>0</v>
      </c>
      <c r="I937" s="77">
        <v>0</v>
      </c>
      <c r="J937" s="77">
        <v>0</v>
      </c>
      <c r="K937" s="80" t="s">
        <v>376</v>
      </c>
      <c r="L937" s="155" t="s">
        <v>35</v>
      </c>
      <c r="M937" s="143"/>
    </row>
    <row r="938" s="29" customFormat="1" ht="18" customHeight="1" spans="1:13">
      <c r="A938" s="107"/>
      <c r="B938" s="75"/>
      <c r="C938" s="75"/>
      <c r="D938" s="80">
        <v>2019</v>
      </c>
      <c r="E938" s="77">
        <v>0</v>
      </c>
      <c r="F938" s="77">
        <v>0</v>
      </c>
      <c r="G938" s="77">
        <v>0</v>
      </c>
      <c r="H938" s="77">
        <v>0</v>
      </c>
      <c r="I938" s="77">
        <v>0</v>
      </c>
      <c r="J938" s="77">
        <v>0</v>
      </c>
      <c r="K938" s="80"/>
      <c r="L938" s="155"/>
      <c r="M938" s="143"/>
    </row>
    <row r="939" s="29" customFormat="1" ht="18" customHeight="1" spans="1:13">
      <c r="A939" s="107"/>
      <c r="B939" s="75"/>
      <c r="C939" s="75"/>
      <c r="D939" s="80">
        <v>2020</v>
      </c>
      <c r="E939" s="77">
        <v>0</v>
      </c>
      <c r="F939" s="77">
        <v>0</v>
      </c>
      <c r="G939" s="77">
        <v>0</v>
      </c>
      <c r="H939" s="77">
        <v>0</v>
      </c>
      <c r="I939" s="77">
        <v>0</v>
      </c>
      <c r="J939" s="77">
        <v>0</v>
      </c>
      <c r="K939" s="80"/>
      <c r="L939" s="155"/>
      <c r="M939" s="143"/>
    </row>
    <row r="940" s="29" customFormat="1" ht="18" customHeight="1" spans="1:13">
      <c r="A940" s="107"/>
      <c r="B940" s="75"/>
      <c r="C940" s="75"/>
      <c r="D940" s="80">
        <v>2021</v>
      </c>
      <c r="E940" s="77">
        <v>0</v>
      </c>
      <c r="F940" s="77">
        <v>0</v>
      </c>
      <c r="G940" s="77">
        <v>0</v>
      </c>
      <c r="H940" s="77">
        <v>0</v>
      </c>
      <c r="I940" s="77">
        <v>0</v>
      </c>
      <c r="J940" s="77">
        <v>0</v>
      </c>
      <c r="K940" s="80"/>
      <c r="L940" s="155"/>
      <c r="M940" s="143"/>
    </row>
    <row r="941" s="29" customFormat="1" ht="18" customHeight="1" spans="1:13">
      <c r="A941" s="107"/>
      <c r="B941" s="75"/>
      <c r="C941" s="75"/>
      <c r="D941" s="80">
        <v>2022</v>
      </c>
      <c r="E941" s="77">
        <v>0</v>
      </c>
      <c r="F941" s="77">
        <v>0</v>
      </c>
      <c r="G941" s="77">
        <v>0</v>
      </c>
      <c r="H941" s="77">
        <v>0</v>
      </c>
      <c r="I941" s="77">
        <v>0</v>
      </c>
      <c r="J941" s="77">
        <v>0</v>
      </c>
      <c r="K941" s="80"/>
      <c r="L941" s="155"/>
      <c r="M941" s="143"/>
    </row>
    <row r="942" s="29" customFormat="1" ht="18" customHeight="1" spans="1:13">
      <c r="A942" s="107"/>
      <c r="B942" s="75"/>
      <c r="C942" s="75"/>
      <c r="D942" s="80">
        <v>2023</v>
      </c>
      <c r="E942" s="77">
        <v>0</v>
      </c>
      <c r="F942" s="77">
        <v>0</v>
      </c>
      <c r="G942" s="77">
        <v>0</v>
      </c>
      <c r="H942" s="77">
        <f>I942</f>
        <v>0</v>
      </c>
      <c r="I942" s="77">
        <v>0</v>
      </c>
      <c r="J942" s="77">
        <v>0</v>
      </c>
      <c r="K942" s="80"/>
      <c r="L942" s="155"/>
      <c r="M942" s="143"/>
    </row>
    <row r="943" s="29" customFormat="1" ht="18" customHeight="1" spans="1:13">
      <c r="A943" s="107"/>
      <c r="B943" s="75"/>
      <c r="C943" s="75"/>
      <c r="D943" s="80">
        <v>2024</v>
      </c>
      <c r="E943" s="77">
        <v>0</v>
      </c>
      <c r="F943" s="77">
        <v>0</v>
      </c>
      <c r="G943" s="77">
        <v>0</v>
      </c>
      <c r="H943" s="87">
        <v>0</v>
      </c>
      <c r="I943" s="87">
        <v>0</v>
      </c>
      <c r="J943" s="77">
        <v>0</v>
      </c>
      <c r="K943" s="80"/>
      <c r="L943" s="155"/>
      <c r="M943" s="143"/>
    </row>
    <row r="944" s="29" customFormat="1" ht="18" customHeight="1" spans="1:13">
      <c r="A944" s="107"/>
      <c r="B944" s="75"/>
      <c r="C944" s="75"/>
      <c r="D944" s="80">
        <v>2025</v>
      </c>
      <c r="E944" s="77">
        <v>0</v>
      </c>
      <c r="F944" s="77">
        <v>0</v>
      </c>
      <c r="G944" s="77">
        <v>0</v>
      </c>
      <c r="H944" s="87">
        <v>0</v>
      </c>
      <c r="I944" s="87">
        <v>0</v>
      </c>
      <c r="J944" s="77">
        <v>0</v>
      </c>
      <c r="K944" s="80"/>
      <c r="L944" s="155"/>
      <c r="M944" s="143"/>
    </row>
    <row r="945" s="29" customFormat="1" ht="18" customHeight="1" spans="1:13">
      <c r="A945" s="107"/>
      <c r="B945" s="75"/>
      <c r="C945" s="75"/>
      <c r="D945" s="80">
        <v>2026</v>
      </c>
      <c r="E945" s="77">
        <v>0</v>
      </c>
      <c r="F945" s="77">
        <v>0</v>
      </c>
      <c r="G945" s="77">
        <v>0</v>
      </c>
      <c r="H945" s="87">
        <v>0</v>
      </c>
      <c r="I945" s="87">
        <v>0</v>
      </c>
      <c r="J945" s="77">
        <v>0</v>
      </c>
      <c r="K945" s="80"/>
      <c r="L945" s="155"/>
      <c r="M945" s="143"/>
    </row>
    <row r="946" s="30" customFormat="1" ht="18" customHeight="1" spans="1:13">
      <c r="A946" s="107"/>
      <c r="B946" s="75"/>
      <c r="C946" s="75"/>
      <c r="D946" s="80">
        <v>2027</v>
      </c>
      <c r="E946" s="77">
        <v>0</v>
      </c>
      <c r="F946" s="77">
        <v>0</v>
      </c>
      <c r="G946" s="77">
        <v>0</v>
      </c>
      <c r="H946" s="87">
        <v>0</v>
      </c>
      <c r="I946" s="87">
        <v>0</v>
      </c>
      <c r="J946" s="77">
        <v>0</v>
      </c>
      <c r="K946" s="80"/>
      <c r="L946" s="155"/>
      <c r="M946" s="143"/>
    </row>
    <row r="947" s="31" customFormat="1" ht="18" customHeight="1" spans="1:13">
      <c r="A947" s="107"/>
      <c r="B947" s="75"/>
      <c r="C947" s="75"/>
      <c r="D947" s="80">
        <v>2028</v>
      </c>
      <c r="E947" s="77">
        <v>0</v>
      </c>
      <c r="F947" s="77">
        <v>0</v>
      </c>
      <c r="G947" s="77">
        <v>0</v>
      </c>
      <c r="H947" s="87">
        <v>0</v>
      </c>
      <c r="I947" s="87">
        <v>0</v>
      </c>
      <c r="J947" s="77">
        <v>0</v>
      </c>
      <c r="K947" s="80"/>
      <c r="L947" s="155"/>
      <c r="M947" s="194"/>
    </row>
    <row r="948" ht="21.95" customHeight="1" spans="1:13">
      <c r="A948" s="107" t="s">
        <v>377</v>
      </c>
      <c r="B948" s="75" t="s">
        <v>378</v>
      </c>
      <c r="C948" s="85"/>
      <c r="D948" s="145">
        <v>2018</v>
      </c>
      <c r="E948" s="88">
        <v>0</v>
      </c>
      <c r="F948" s="88">
        <v>0</v>
      </c>
      <c r="G948" s="88">
        <v>0</v>
      </c>
      <c r="H948" s="88">
        <v>0</v>
      </c>
      <c r="I948" s="88">
        <v>0</v>
      </c>
      <c r="J948" s="88">
        <v>0</v>
      </c>
      <c r="K948" s="80" t="s">
        <v>345</v>
      </c>
      <c r="L948" s="155" t="s">
        <v>35</v>
      </c>
      <c r="M948" s="143"/>
    </row>
    <row r="949" ht="21.95" customHeight="1" spans="1:13">
      <c r="A949" s="107"/>
      <c r="B949" s="75"/>
      <c r="C949" s="75"/>
      <c r="D949" s="80">
        <v>2019</v>
      </c>
      <c r="E949" s="77">
        <v>0</v>
      </c>
      <c r="F949" s="77">
        <v>0</v>
      </c>
      <c r="G949" s="77">
        <v>0</v>
      </c>
      <c r="H949" s="77">
        <v>0</v>
      </c>
      <c r="I949" s="77">
        <v>0</v>
      </c>
      <c r="J949" s="77">
        <v>0</v>
      </c>
      <c r="K949" s="80"/>
      <c r="L949" s="155"/>
      <c r="M949" s="143"/>
    </row>
    <row r="950" ht="21.95" customHeight="1" spans="1:13">
      <c r="A950" s="107"/>
      <c r="B950" s="75"/>
      <c r="C950" s="75"/>
      <c r="D950" s="80">
        <v>2020</v>
      </c>
      <c r="E950" s="77">
        <v>0</v>
      </c>
      <c r="F950" s="77">
        <v>0</v>
      </c>
      <c r="G950" s="77">
        <v>0</v>
      </c>
      <c r="H950" s="77">
        <v>0</v>
      </c>
      <c r="I950" s="77">
        <v>0</v>
      </c>
      <c r="J950" s="77">
        <v>0</v>
      </c>
      <c r="K950" s="80"/>
      <c r="L950" s="155"/>
      <c r="M950" s="143"/>
    </row>
    <row r="951" ht="21.95" customHeight="1" spans="1:13">
      <c r="A951" s="107"/>
      <c r="B951" s="75"/>
      <c r="C951" s="75"/>
      <c r="D951" s="80">
        <v>2021</v>
      </c>
      <c r="E951" s="77">
        <v>0</v>
      </c>
      <c r="F951" s="77">
        <v>0</v>
      </c>
      <c r="G951" s="77">
        <v>0</v>
      </c>
      <c r="H951" s="77">
        <v>0</v>
      </c>
      <c r="I951" s="77">
        <v>0</v>
      </c>
      <c r="J951" s="77">
        <v>0</v>
      </c>
      <c r="K951" s="80"/>
      <c r="L951" s="155"/>
      <c r="M951" s="143"/>
    </row>
    <row r="952" ht="21.95" customHeight="1" spans="1:13">
      <c r="A952" s="107"/>
      <c r="B952" s="75"/>
      <c r="C952" s="75"/>
      <c r="D952" s="80">
        <v>2022</v>
      </c>
      <c r="E952" s="77">
        <v>0</v>
      </c>
      <c r="F952" s="77">
        <v>0</v>
      </c>
      <c r="G952" s="77">
        <v>0</v>
      </c>
      <c r="H952" s="77">
        <v>0</v>
      </c>
      <c r="I952" s="77">
        <v>0</v>
      </c>
      <c r="J952" s="77">
        <v>0</v>
      </c>
      <c r="K952" s="80"/>
      <c r="L952" s="155"/>
      <c r="M952" s="143"/>
    </row>
    <row r="953" ht="21.95" customHeight="1" spans="1:13">
      <c r="A953" s="107"/>
      <c r="B953" s="75"/>
      <c r="C953" s="75"/>
      <c r="D953" s="80">
        <v>2023</v>
      </c>
      <c r="E953" s="77">
        <v>0</v>
      </c>
      <c r="F953" s="77">
        <v>0</v>
      </c>
      <c r="G953" s="77">
        <v>0</v>
      </c>
      <c r="H953" s="77">
        <v>0</v>
      </c>
      <c r="I953" s="77">
        <v>0</v>
      </c>
      <c r="J953" s="77">
        <v>0</v>
      </c>
      <c r="K953" s="80"/>
      <c r="L953" s="155"/>
      <c r="M953" s="143"/>
    </row>
    <row r="954" ht="21.95" customHeight="1" spans="1:13">
      <c r="A954" s="107"/>
      <c r="B954" s="75"/>
      <c r="C954" s="75"/>
      <c r="D954" s="80">
        <v>2024</v>
      </c>
      <c r="E954" s="77">
        <f>F954+G954+H954+J954</f>
        <v>0</v>
      </c>
      <c r="F954" s="77">
        <v>0</v>
      </c>
      <c r="G954" s="77">
        <v>0</v>
      </c>
      <c r="H954" s="87">
        <v>0</v>
      </c>
      <c r="I954" s="87">
        <v>0</v>
      </c>
      <c r="J954" s="77">
        <v>0</v>
      </c>
      <c r="K954" s="80"/>
      <c r="L954" s="155"/>
      <c r="M954" s="143"/>
    </row>
    <row r="955" ht="21.95" customHeight="1" spans="1:13">
      <c r="A955" s="107"/>
      <c r="B955" s="75"/>
      <c r="C955" s="75"/>
      <c r="D955" s="80">
        <v>2025</v>
      </c>
      <c r="E955" s="77">
        <v>0</v>
      </c>
      <c r="F955" s="77">
        <v>0</v>
      </c>
      <c r="G955" s="77">
        <v>0</v>
      </c>
      <c r="H955" s="87">
        <v>0</v>
      </c>
      <c r="I955" s="87">
        <v>0</v>
      </c>
      <c r="J955" s="77">
        <v>0</v>
      </c>
      <c r="K955" s="80"/>
      <c r="L955" s="155"/>
      <c r="M955" s="143"/>
    </row>
    <row r="956" ht="21.95" customHeight="1" spans="1:13">
      <c r="A956" s="107"/>
      <c r="B956" s="75"/>
      <c r="C956" s="75"/>
      <c r="D956" s="80">
        <v>2026</v>
      </c>
      <c r="E956" s="77">
        <v>0</v>
      </c>
      <c r="F956" s="77">
        <v>0</v>
      </c>
      <c r="G956" s="77">
        <v>0</v>
      </c>
      <c r="H956" s="87">
        <v>0</v>
      </c>
      <c r="I956" s="87">
        <v>0</v>
      </c>
      <c r="J956" s="77">
        <v>0</v>
      </c>
      <c r="K956" s="80"/>
      <c r="L956" s="155"/>
      <c r="M956" s="143"/>
    </row>
    <row r="957" ht="21.95" customHeight="1" spans="1:13">
      <c r="A957" s="107"/>
      <c r="B957" s="75"/>
      <c r="C957" s="75"/>
      <c r="D957" s="80">
        <v>2027</v>
      </c>
      <c r="E957" s="77">
        <v>0</v>
      </c>
      <c r="F957" s="77">
        <v>0</v>
      </c>
      <c r="G957" s="77">
        <v>0</v>
      </c>
      <c r="H957" s="87">
        <v>0</v>
      </c>
      <c r="I957" s="87">
        <v>0</v>
      </c>
      <c r="J957" s="77">
        <v>0</v>
      </c>
      <c r="K957" s="80"/>
      <c r="L957" s="155"/>
      <c r="M957" s="143"/>
    </row>
    <row r="958" ht="105" customHeight="1" spans="1:13">
      <c r="A958" s="107"/>
      <c r="B958" s="75"/>
      <c r="C958" s="75"/>
      <c r="D958" s="80">
        <v>2028</v>
      </c>
      <c r="E958" s="77">
        <v>0</v>
      </c>
      <c r="F958" s="77">
        <v>0</v>
      </c>
      <c r="G958" s="77">
        <v>0</v>
      </c>
      <c r="H958" s="87">
        <v>0</v>
      </c>
      <c r="I958" s="87">
        <v>0</v>
      </c>
      <c r="J958" s="77">
        <v>0</v>
      </c>
      <c r="K958" s="80"/>
      <c r="L958" s="155"/>
      <c r="M958" s="143"/>
    </row>
    <row r="959" customHeight="1" spans="1:13">
      <c r="A959" s="107" t="s">
        <v>379</v>
      </c>
      <c r="B959" s="75" t="s">
        <v>380</v>
      </c>
      <c r="C959" s="75"/>
      <c r="D959" s="80">
        <v>2018</v>
      </c>
      <c r="E959" s="77">
        <v>0</v>
      </c>
      <c r="F959" s="77">
        <v>0</v>
      </c>
      <c r="G959" s="77">
        <v>0</v>
      </c>
      <c r="H959" s="77">
        <v>0</v>
      </c>
      <c r="I959" s="77">
        <v>0</v>
      </c>
      <c r="J959" s="77">
        <v>0</v>
      </c>
      <c r="K959" s="80" t="s">
        <v>352</v>
      </c>
      <c r="L959" s="155" t="s">
        <v>35</v>
      </c>
      <c r="M959" s="143"/>
    </row>
    <row r="960" customHeight="1" spans="1:13">
      <c r="A960" s="107"/>
      <c r="B960" s="75"/>
      <c r="C960" s="75"/>
      <c r="D960" s="80">
        <v>2019</v>
      </c>
      <c r="E960" s="77">
        <v>0</v>
      </c>
      <c r="F960" s="77">
        <v>0</v>
      </c>
      <c r="G960" s="77">
        <v>0</v>
      </c>
      <c r="H960" s="77">
        <v>0</v>
      </c>
      <c r="I960" s="77">
        <v>0</v>
      </c>
      <c r="J960" s="77">
        <v>0</v>
      </c>
      <c r="K960" s="80"/>
      <c r="L960" s="155"/>
      <c r="M960" s="143"/>
    </row>
    <row r="961" customHeight="1" spans="1:13">
      <c r="A961" s="107"/>
      <c r="B961" s="75"/>
      <c r="C961" s="75"/>
      <c r="D961" s="80">
        <v>2020</v>
      </c>
      <c r="E961" s="77">
        <v>0</v>
      </c>
      <c r="F961" s="77">
        <v>0</v>
      </c>
      <c r="G961" s="77">
        <v>0</v>
      </c>
      <c r="H961" s="77">
        <v>0</v>
      </c>
      <c r="I961" s="77">
        <v>0</v>
      </c>
      <c r="J961" s="77">
        <v>0</v>
      </c>
      <c r="K961" s="80"/>
      <c r="L961" s="155"/>
      <c r="M961" s="143"/>
    </row>
    <row r="962" customHeight="1" spans="1:13">
      <c r="A962" s="107"/>
      <c r="B962" s="75"/>
      <c r="C962" s="75"/>
      <c r="D962" s="80">
        <v>2021</v>
      </c>
      <c r="E962" s="77">
        <v>0</v>
      </c>
      <c r="F962" s="77">
        <v>0</v>
      </c>
      <c r="G962" s="77">
        <v>0</v>
      </c>
      <c r="H962" s="77">
        <v>0</v>
      </c>
      <c r="I962" s="77">
        <v>0</v>
      </c>
      <c r="J962" s="77">
        <v>0</v>
      </c>
      <c r="K962" s="80"/>
      <c r="L962" s="155"/>
      <c r="M962" s="143"/>
    </row>
    <row r="963" customHeight="1" spans="1:13">
      <c r="A963" s="107"/>
      <c r="B963" s="75"/>
      <c r="C963" s="75"/>
      <c r="D963" s="80">
        <v>2022</v>
      </c>
      <c r="E963" s="77">
        <v>0</v>
      </c>
      <c r="F963" s="77">
        <v>0</v>
      </c>
      <c r="G963" s="77">
        <v>0</v>
      </c>
      <c r="H963" s="77">
        <v>0</v>
      </c>
      <c r="I963" s="77">
        <v>0</v>
      </c>
      <c r="J963" s="77">
        <v>0</v>
      </c>
      <c r="K963" s="80"/>
      <c r="L963" s="155"/>
      <c r="M963" s="143"/>
    </row>
    <row r="964" customHeight="1" spans="1:13">
      <c r="A964" s="107"/>
      <c r="B964" s="75"/>
      <c r="C964" s="75"/>
      <c r="D964" s="80">
        <v>2023</v>
      </c>
      <c r="E964" s="77">
        <v>0</v>
      </c>
      <c r="F964" s="77">
        <v>0</v>
      </c>
      <c r="G964" s="77">
        <v>0</v>
      </c>
      <c r="H964" s="77">
        <v>0</v>
      </c>
      <c r="I964" s="77">
        <v>0</v>
      </c>
      <c r="J964" s="77">
        <v>0</v>
      </c>
      <c r="K964" s="80"/>
      <c r="L964" s="155"/>
      <c r="M964" s="143"/>
    </row>
    <row r="965" customHeight="1" spans="1:13">
      <c r="A965" s="107"/>
      <c r="B965" s="75"/>
      <c r="C965" s="75"/>
      <c r="D965" s="80">
        <v>2024</v>
      </c>
      <c r="E965" s="77">
        <v>0</v>
      </c>
      <c r="F965" s="77">
        <v>0</v>
      </c>
      <c r="G965" s="77">
        <v>0</v>
      </c>
      <c r="H965" s="77">
        <f>I965</f>
        <v>0</v>
      </c>
      <c r="I965" s="77">
        <v>0</v>
      </c>
      <c r="J965" s="77">
        <v>0</v>
      </c>
      <c r="K965" s="80"/>
      <c r="L965" s="155"/>
      <c r="M965" s="143"/>
    </row>
    <row r="966" customHeight="1" spans="1:13">
      <c r="A966" s="107"/>
      <c r="B966" s="75"/>
      <c r="C966" s="75"/>
      <c r="D966" s="80">
        <v>2025</v>
      </c>
      <c r="E966" s="77">
        <v>0</v>
      </c>
      <c r="F966" s="77">
        <v>0</v>
      </c>
      <c r="G966" s="77">
        <v>0</v>
      </c>
      <c r="H966" s="77">
        <f>I966</f>
        <v>0</v>
      </c>
      <c r="I966" s="77">
        <v>0</v>
      </c>
      <c r="J966" s="77">
        <v>0</v>
      </c>
      <c r="K966" s="80"/>
      <c r="L966" s="155"/>
      <c r="M966" s="143"/>
    </row>
    <row r="967" customHeight="1" spans="1:13">
      <c r="A967" s="107"/>
      <c r="B967" s="75"/>
      <c r="C967" s="75"/>
      <c r="D967" s="80">
        <v>2026</v>
      </c>
      <c r="E967" s="77">
        <v>0</v>
      </c>
      <c r="F967" s="77">
        <v>0</v>
      </c>
      <c r="G967" s="77">
        <v>0</v>
      </c>
      <c r="H967" s="77">
        <f>I967</f>
        <v>0</v>
      </c>
      <c r="I967" s="77">
        <v>0</v>
      </c>
      <c r="J967" s="77">
        <v>0</v>
      </c>
      <c r="K967" s="80"/>
      <c r="L967" s="155"/>
      <c r="M967" s="143"/>
    </row>
    <row r="968" customHeight="1" spans="1:13">
      <c r="A968" s="107"/>
      <c r="B968" s="75"/>
      <c r="C968" s="75"/>
      <c r="D968" s="80">
        <v>2027</v>
      </c>
      <c r="E968" s="77">
        <v>0</v>
      </c>
      <c r="F968" s="77">
        <v>0</v>
      </c>
      <c r="G968" s="77">
        <v>0</v>
      </c>
      <c r="H968" s="77">
        <f>I968</f>
        <v>0</v>
      </c>
      <c r="I968" s="77">
        <v>0</v>
      </c>
      <c r="J968" s="77">
        <v>0</v>
      </c>
      <c r="K968" s="80"/>
      <c r="L968" s="155"/>
      <c r="M968" s="143"/>
    </row>
    <row r="969" customHeight="1" spans="1:13">
      <c r="A969" s="205"/>
      <c r="B969" s="74"/>
      <c r="C969" s="74"/>
      <c r="D969" s="82">
        <v>2028</v>
      </c>
      <c r="E969" s="225">
        <v>0</v>
      </c>
      <c r="F969" s="225">
        <v>0</v>
      </c>
      <c r="G969" s="225">
        <v>0</v>
      </c>
      <c r="H969" s="225">
        <v>0</v>
      </c>
      <c r="I969" s="225">
        <v>0</v>
      </c>
      <c r="J969" s="225">
        <v>0</v>
      </c>
      <c r="K969" s="82"/>
      <c r="L969" s="228"/>
      <c r="M969" s="143"/>
    </row>
    <row r="970" ht="23.45" customHeight="1" spans="1:13">
      <c r="A970" s="102" t="s">
        <v>381</v>
      </c>
      <c r="B970" s="103" t="s">
        <v>382</v>
      </c>
      <c r="C970" s="103"/>
      <c r="D970" s="153">
        <v>2018</v>
      </c>
      <c r="E970" s="106">
        <v>0</v>
      </c>
      <c r="F970" s="106">
        <v>0</v>
      </c>
      <c r="G970" s="106">
        <v>0</v>
      </c>
      <c r="H970" s="106">
        <v>0</v>
      </c>
      <c r="I970" s="106">
        <v>0</v>
      </c>
      <c r="J970" s="106">
        <v>0</v>
      </c>
      <c r="K970" s="153" t="s">
        <v>383</v>
      </c>
      <c r="L970" s="154" t="s">
        <v>35</v>
      </c>
      <c r="M970" s="143"/>
    </row>
    <row r="971" ht="23.45" customHeight="1" spans="1:13">
      <c r="A971" s="107"/>
      <c r="B971" s="75"/>
      <c r="C971" s="75"/>
      <c r="D971" s="80">
        <v>2019</v>
      </c>
      <c r="E971" s="77">
        <v>0</v>
      </c>
      <c r="F971" s="77">
        <v>0</v>
      </c>
      <c r="G971" s="77">
        <v>0</v>
      </c>
      <c r="H971" s="77">
        <v>0</v>
      </c>
      <c r="I971" s="77">
        <v>0</v>
      </c>
      <c r="J971" s="77">
        <v>0</v>
      </c>
      <c r="K971" s="80"/>
      <c r="L971" s="155"/>
      <c r="M971" s="143"/>
    </row>
    <row r="972" ht="23.45" customHeight="1" spans="1:13">
      <c r="A972" s="107"/>
      <c r="B972" s="75"/>
      <c r="C972" s="75"/>
      <c r="D972" s="80">
        <v>2020</v>
      </c>
      <c r="E972" s="77">
        <v>0</v>
      </c>
      <c r="F972" s="77">
        <v>0</v>
      </c>
      <c r="G972" s="77">
        <v>0</v>
      </c>
      <c r="H972" s="77">
        <v>0</v>
      </c>
      <c r="I972" s="77">
        <v>0</v>
      </c>
      <c r="J972" s="77">
        <v>0</v>
      </c>
      <c r="K972" s="80"/>
      <c r="L972" s="155"/>
      <c r="M972" s="143"/>
    </row>
    <row r="973" ht="23.45" customHeight="1" spans="1:13">
      <c r="A973" s="107"/>
      <c r="B973" s="75"/>
      <c r="C973" s="75"/>
      <c r="D973" s="80">
        <v>2021</v>
      </c>
      <c r="E973" s="77">
        <v>0</v>
      </c>
      <c r="F973" s="77">
        <v>0</v>
      </c>
      <c r="G973" s="77">
        <v>0</v>
      </c>
      <c r="H973" s="77">
        <v>0</v>
      </c>
      <c r="I973" s="77">
        <v>0</v>
      </c>
      <c r="J973" s="77">
        <v>0</v>
      </c>
      <c r="K973" s="80"/>
      <c r="L973" s="155"/>
      <c r="M973" s="143"/>
    </row>
    <row r="974" ht="23.45" customHeight="1" spans="1:13">
      <c r="A974" s="107"/>
      <c r="B974" s="75"/>
      <c r="C974" s="75"/>
      <c r="D974" s="80">
        <v>2022</v>
      </c>
      <c r="E974" s="77">
        <v>0</v>
      </c>
      <c r="F974" s="77">
        <v>0</v>
      </c>
      <c r="G974" s="77">
        <v>0</v>
      </c>
      <c r="H974" s="77">
        <v>0</v>
      </c>
      <c r="I974" s="77">
        <v>0</v>
      </c>
      <c r="J974" s="77">
        <v>0</v>
      </c>
      <c r="K974" s="80"/>
      <c r="L974" s="155"/>
      <c r="M974" s="143"/>
    </row>
    <row r="975" ht="23.45" customHeight="1" spans="1:13">
      <c r="A975" s="107"/>
      <c r="B975" s="75"/>
      <c r="C975" s="75"/>
      <c r="D975" s="80">
        <v>2023</v>
      </c>
      <c r="E975" s="77">
        <v>0</v>
      </c>
      <c r="F975" s="77">
        <v>0</v>
      </c>
      <c r="G975" s="77">
        <v>0</v>
      </c>
      <c r="H975" s="77">
        <v>0</v>
      </c>
      <c r="I975" s="77">
        <v>0</v>
      </c>
      <c r="J975" s="77">
        <v>0</v>
      </c>
      <c r="K975" s="80"/>
      <c r="L975" s="155"/>
      <c r="M975" s="143"/>
    </row>
    <row r="976" ht="23.45" customHeight="1" spans="1:13">
      <c r="A976" s="107"/>
      <c r="B976" s="75"/>
      <c r="C976" s="75"/>
      <c r="D976" s="80">
        <v>2024</v>
      </c>
      <c r="E976" s="77">
        <v>0</v>
      </c>
      <c r="F976" s="77">
        <v>0</v>
      </c>
      <c r="G976" s="87">
        <v>0</v>
      </c>
      <c r="H976" s="87">
        <v>0</v>
      </c>
      <c r="I976" s="87">
        <v>0</v>
      </c>
      <c r="J976" s="77">
        <v>0</v>
      </c>
      <c r="K976" s="80"/>
      <c r="L976" s="155"/>
      <c r="M976" s="143"/>
    </row>
    <row r="977" ht="23.45" customHeight="1" spans="1:13">
      <c r="A977" s="107"/>
      <c r="B977" s="75"/>
      <c r="C977" s="75"/>
      <c r="D977" s="80">
        <v>2025</v>
      </c>
      <c r="E977" s="77">
        <v>0</v>
      </c>
      <c r="F977" s="77">
        <v>0</v>
      </c>
      <c r="G977" s="87">
        <v>0</v>
      </c>
      <c r="H977" s="87">
        <f>I977</f>
        <v>0</v>
      </c>
      <c r="I977" s="87">
        <v>0</v>
      </c>
      <c r="J977" s="77">
        <v>0</v>
      </c>
      <c r="K977" s="80"/>
      <c r="L977" s="155"/>
      <c r="M977" s="143"/>
    </row>
    <row r="978" ht="23.45" customHeight="1" spans="1:13">
      <c r="A978" s="107"/>
      <c r="B978" s="75"/>
      <c r="C978" s="75"/>
      <c r="D978" s="80">
        <v>2026</v>
      </c>
      <c r="E978" s="77">
        <v>0</v>
      </c>
      <c r="F978" s="77">
        <v>0</v>
      </c>
      <c r="G978" s="87">
        <v>0</v>
      </c>
      <c r="H978" s="87">
        <f>I978</f>
        <v>0</v>
      </c>
      <c r="I978" s="87">
        <v>0</v>
      </c>
      <c r="J978" s="77">
        <v>0</v>
      </c>
      <c r="K978" s="80"/>
      <c r="L978" s="155"/>
      <c r="M978" s="143"/>
    </row>
    <row r="979" ht="23.45" customHeight="1" spans="1:13">
      <c r="A979" s="107"/>
      <c r="B979" s="75"/>
      <c r="C979" s="75"/>
      <c r="D979" s="80">
        <v>2027</v>
      </c>
      <c r="E979" s="77">
        <v>0</v>
      </c>
      <c r="F979" s="77">
        <v>0</v>
      </c>
      <c r="G979" s="87">
        <v>0</v>
      </c>
      <c r="H979" s="87">
        <f>I979</f>
        <v>0</v>
      </c>
      <c r="I979" s="87">
        <v>0</v>
      </c>
      <c r="J979" s="77">
        <v>0</v>
      </c>
      <c r="K979" s="80"/>
      <c r="L979" s="155"/>
      <c r="M979" s="143"/>
    </row>
    <row r="980" ht="84" customHeight="1" spans="1:13">
      <c r="A980" s="111"/>
      <c r="B980" s="83"/>
      <c r="C980" s="83"/>
      <c r="D980" s="113">
        <v>2028</v>
      </c>
      <c r="E980" s="114">
        <v>0</v>
      </c>
      <c r="F980" s="114">
        <v>0</v>
      </c>
      <c r="G980" s="116">
        <v>0</v>
      </c>
      <c r="H980" s="116">
        <v>0</v>
      </c>
      <c r="I980" s="116">
        <v>0</v>
      </c>
      <c r="J980" s="114">
        <v>0</v>
      </c>
      <c r="K980" s="113"/>
      <c r="L980" s="159"/>
      <c r="M980" s="143"/>
    </row>
    <row r="981" ht="23.45" customHeight="1" spans="1:13">
      <c r="A981" s="102" t="s">
        <v>384</v>
      </c>
      <c r="B981" s="103" t="s">
        <v>385</v>
      </c>
      <c r="C981" s="103"/>
      <c r="D981" s="153">
        <v>2018</v>
      </c>
      <c r="E981" s="106">
        <v>0</v>
      </c>
      <c r="F981" s="106">
        <v>0</v>
      </c>
      <c r="G981" s="106">
        <v>0</v>
      </c>
      <c r="H981" s="106">
        <v>0</v>
      </c>
      <c r="I981" s="106">
        <v>0</v>
      </c>
      <c r="J981" s="106">
        <v>0</v>
      </c>
      <c r="K981" s="153" t="s">
        <v>386</v>
      </c>
      <c r="L981" s="154" t="s">
        <v>35</v>
      </c>
      <c r="M981" s="143"/>
    </row>
    <row r="982" ht="23.45" customHeight="1" spans="1:13">
      <c r="A982" s="107"/>
      <c r="B982" s="75"/>
      <c r="C982" s="75"/>
      <c r="D982" s="80">
        <v>2019</v>
      </c>
      <c r="E982" s="77">
        <v>0</v>
      </c>
      <c r="F982" s="77">
        <v>0</v>
      </c>
      <c r="G982" s="77">
        <v>0</v>
      </c>
      <c r="H982" s="77">
        <v>0</v>
      </c>
      <c r="I982" s="77">
        <v>0</v>
      </c>
      <c r="J982" s="77">
        <v>0</v>
      </c>
      <c r="K982" s="80"/>
      <c r="L982" s="155"/>
      <c r="M982" s="143"/>
    </row>
    <row r="983" ht="23.45" customHeight="1" spans="1:13">
      <c r="A983" s="107"/>
      <c r="B983" s="75"/>
      <c r="C983" s="75"/>
      <c r="D983" s="80">
        <v>2020</v>
      </c>
      <c r="E983" s="77">
        <v>0</v>
      </c>
      <c r="F983" s="77">
        <v>0</v>
      </c>
      <c r="G983" s="77">
        <v>0</v>
      </c>
      <c r="H983" s="77">
        <v>0</v>
      </c>
      <c r="I983" s="77">
        <v>0</v>
      </c>
      <c r="J983" s="77">
        <v>0</v>
      </c>
      <c r="K983" s="80"/>
      <c r="L983" s="155"/>
      <c r="M983" s="143"/>
    </row>
    <row r="984" ht="23.45" customHeight="1" spans="1:13">
      <c r="A984" s="107"/>
      <c r="B984" s="75"/>
      <c r="C984" s="75"/>
      <c r="D984" s="80">
        <v>2021</v>
      </c>
      <c r="E984" s="77">
        <v>0</v>
      </c>
      <c r="F984" s="77">
        <v>0</v>
      </c>
      <c r="G984" s="77">
        <v>0</v>
      </c>
      <c r="H984" s="77">
        <v>0</v>
      </c>
      <c r="I984" s="77">
        <v>0</v>
      </c>
      <c r="J984" s="77">
        <v>0</v>
      </c>
      <c r="K984" s="80"/>
      <c r="L984" s="155"/>
      <c r="M984" s="143"/>
    </row>
    <row r="985" ht="23.45" customHeight="1" spans="1:13">
      <c r="A985" s="107"/>
      <c r="B985" s="75"/>
      <c r="C985" s="75"/>
      <c r="D985" s="80">
        <v>2022</v>
      </c>
      <c r="E985" s="77">
        <v>0</v>
      </c>
      <c r="F985" s="77">
        <v>0</v>
      </c>
      <c r="G985" s="77">
        <v>0</v>
      </c>
      <c r="H985" s="77">
        <v>0</v>
      </c>
      <c r="I985" s="77">
        <v>0</v>
      </c>
      <c r="J985" s="77">
        <v>0</v>
      </c>
      <c r="K985" s="80"/>
      <c r="L985" s="155"/>
      <c r="M985" s="143"/>
    </row>
    <row r="986" ht="23.45" customHeight="1" spans="1:13">
      <c r="A986" s="107"/>
      <c r="B986" s="75"/>
      <c r="C986" s="75"/>
      <c r="D986" s="80">
        <v>2023</v>
      </c>
      <c r="E986" s="77">
        <v>0</v>
      </c>
      <c r="F986" s="77">
        <v>0</v>
      </c>
      <c r="G986" s="77">
        <v>0</v>
      </c>
      <c r="H986" s="77">
        <v>0</v>
      </c>
      <c r="I986" s="77">
        <v>0</v>
      </c>
      <c r="J986" s="77">
        <v>0</v>
      </c>
      <c r="K986" s="80"/>
      <c r="L986" s="155"/>
      <c r="M986" s="143"/>
    </row>
    <row r="987" ht="23.45" customHeight="1" spans="1:13">
      <c r="A987" s="107"/>
      <c r="B987" s="75"/>
      <c r="C987" s="75"/>
      <c r="D987" s="80">
        <v>2024</v>
      </c>
      <c r="E987" s="77">
        <v>130</v>
      </c>
      <c r="F987" s="77">
        <v>0</v>
      </c>
      <c r="G987" s="87">
        <v>0</v>
      </c>
      <c r="H987" s="87">
        <v>130</v>
      </c>
      <c r="I987" s="87">
        <v>0</v>
      </c>
      <c r="J987" s="77">
        <v>0</v>
      </c>
      <c r="K987" s="80"/>
      <c r="L987" s="155"/>
      <c r="M987" s="143"/>
    </row>
    <row r="988" ht="23.45" customHeight="1" spans="1:13">
      <c r="A988" s="107"/>
      <c r="B988" s="75"/>
      <c r="C988" s="75"/>
      <c r="D988" s="80">
        <v>2025</v>
      </c>
      <c r="E988" s="77">
        <v>0</v>
      </c>
      <c r="F988" s="77">
        <v>0</v>
      </c>
      <c r="G988" s="87">
        <v>0</v>
      </c>
      <c r="H988" s="87">
        <v>0</v>
      </c>
      <c r="I988" s="87">
        <v>0</v>
      </c>
      <c r="J988" s="77">
        <v>0</v>
      </c>
      <c r="K988" s="80"/>
      <c r="L988" s="155"/>
      <c r="M988" s="143"/>
    </row>
    <row r="989" ht="23.45" customHeight="1" spans="1:13">
      <c r="A989" s="107"/>
      <c r="B989" s="75"/>
      <c r="C989" s="75"/>
      <c r="D989" s="80">
        <v>2026</v>
      </c>
      <c r="E989" s="77">
        <v>0</v>
      </c>
      <c r="F989" s="77">
        <v>0</v>
      </c>
      <c r="G989" s="87">
        <v>0</v>
      </c>
      <c r="H989" s="87">
        <f>I989</f>
        <v>0</v>
      </c>
      <c r="I989" s="87">
        <v>0</v>
      </c>
      <c r="J989" s="77">
        <v>0</v>
      </c>
      <c r="K989" s="80"/>
      <c r="L989" s="155"/>
      <c r="M989" s="143"/>
    </row>
    <row r="990" ht="23.45" customHeight="1" spans="1:13">
      <c r="A990" s="107"/>
      <c r="B990" s="75"/>
      <c r="C990" s="75"/>
      <c r="D990" s="80">
        <v>2027</v>
      </c>
      <c r="E990" s="77">
        <v>0</v>
      </c>
      <c r="F990" s="77">
        <v>0</v>
      </c>
      <c r="G990" s="87">
        <v>0</v>
      </c>
      <c r="H990" s="87">
        <f>I990</f>
        <v>0</v>
      </c>
      <c r="I990" s="87">
        <v>0</v>
      </c>
      <c r="J990" s="77">
        <v>0</v>
      </c>
      <c r="K990" s="80"/>
      <c r="L990" s="155"/>
      <c r="M990" s="143"/>
    </row>
    <row r="991" ht="23.45" customHeight="1" spans="1:13">
      <c r="A991" s="107"/>
      <c r="B991" s="75"/>
      <c r="C991" s="75"/>
      <c r="D991" s="80">
        <v>2028</v>
      </c>
      <c r="E991" s="77">
        <v>0</v>
      </c>
      <c r="F991" s="77">
        <v>0</v>
      </c>
      <c r="G991" s="87">
        <v>0</v>
      </c>
      <c r="H991" s="87">
        <v>0</v>
      </c>
      <c r="I991" s="87">
        <v>0</v>
      </c>
      <c r="J991" s="77">
        <v>0</v>
      </c>
      <c r="K991" s="80"/>
      <c r="L991" s="155"/>
      <c r="M991" s="143"/>
    </row>
    <row r="992" ht="23.45" customHeight="1" spans="1:13">
      <c r="A992" s="208" t="s">
        <v>387</v>
      </c>
      <c r="B992" s="85" t="s">
        <v>388</v>
      </c>
      <c r="C992" s="85"/>
      <c r="D992" s="145">
        <v>2018</v>
      </c>
      <c r="E992" s="88">
        <v>0</v>
      </c>
      <c r="F992" s="88">
        <v>0</v>
      </c>
      <c r="G992" s="88">
        <v>0</v>
      </c>
      <c r="H992" s="88">
        <v>0</v>
      </c>
      <c r="I992" s="88">
        <v>0</v>
      </c>
      <c r="J992" s="88">
        <v>0</v>
      </c>
      <c r="K992" s="145" t="s">
        <v>383</v>
      </c>
      <c r="L992" s="229" t="s">
        <v>35</v>
      </c>
      <c r="M992" s="143"/>
    </row>
    <row r="993" ht="23.45" customHeight="1" spans="1:13">
      <c r="A993" s="107"/>
      <c r="B993" s="75"/>
      <c r="C993" s="75"/>
      <c r="D993" s="80">
        <v>2019</v>
      </c>
      <c r="E993" s="77">
        <v>0</v>
      </c>
      <c r="F993" s="77">
        <v>0</v>
      </c>
      <c r="G993" s="77">
        <v>0</v>
      </c>
      <c r="H993" s="77">
        <v>0</v>
      </c>
      <c r="I993" s="77">
        <v>0</v>
      </c>
      <c r="J993" s="77">
        <v>0</v>
      </c>
      <c r="K993" s="80"/>
      <c r="L993" s="155"/>
      <c r="M993" s="143"/>
    </row>
    <row r="994" ht="23.45" customHeight="1" spans="1:13">
      <c r="A994" s="107"/>
      <c r="B994" s="75"/>
      <c r="C994" s="75"/>
      <c r="D994" s="80">
        <v>2020</v>
      </c>
      <c r="E994" s="77">
        <v>0</v>
      </c>
      <c r="F994" s="77">
        <v>0</v>
      </c>
      <c r="G994" s="77">
        <v>0</v>
      </c>
      <c r="H994" s="77">
        <v>0</v>
      </c>
      <c r="I994" s="77">
        <v>0</v>
      </c>
      <c r="J994" s="77">
        <v>0</v>
      </c>
      <c r="K994" s="80"/>
      <c r="L994" s="155"/>
      <c r="M994" s="143"/>
    </row>
    <row r="995" ht="23.45" customHeight="1" spans="1:13">
      <c r="A995" s="107"/>
      <c r="B995" s="75"/>
      <c r="C995" s="75"/>
      <c r="D995" s="80">
        <v>2021</v>
      </c>
      <c r="E995" s="77">
        <v>0</v>
      </c>
      <c r="F995" s="77">
        <v>0</v>
      </c>
      <c r="G995" s="77">
        <v>0</v>
      </c>
      <c r="H995" s="77">
        <v>0</v>
      </c>
      <c r="I995" s="77">
        <v>0</v>
      </c>
      <c r="J995" s="77">
        <v>0</v>
      </c>
      <c r="K995" s="80"/>
      <c r="L995" s="155"/>
      <c r="M995" s="143"/>
    </row>
    <row r="996" ht="23.45" customHeight="1" spans="1:13">
      <c r="A996" s="107"/>
      <c r="B996" s="75"/>
      <c r="C996" s="75"/>
      <c r="D996" s="80">
        <v>2022</v>
      </c>
      <c r="E996" s="77">
        <v>0</v>
      </c>
      <c r="F996" s="77">
        <v>0</v>
      </c>
      <c r="G996" s="77">
        <v>0</v>
      </c>
      <c r="H996" s="77">
        <v>0</v>
      </c>
      <c r="I996" s="77">
        <v>0</v>
      </c>
      <c r="J996" s="77">
        <v>0</v>
      </c>
      <c r="K996" s="80"/>
      <c r="L996" s="155"/>
      <c r="M996" s="143"/>
    </row>
    <row r="997" ht="23.45" customHeight="1" spans="1:13">
      <c r="A997" s="107"/>
      <c r="B997" s="75"/>
      <c r="C997" s="75"/>
      <c r="D997" s="80">
        <v>2023</v>
      </c>
      <c r="E997" s="77">
        <v>0</v>
      </c>
      <c r="F997" s="77">
        <v>0</v>
      </c>
      <c r="G997" s="77">
        <v>0</v>
      </c>
      <c r="H997" s="77">
        <v>0</v>
      </c>
      <c r="I997" s="77">
        <v>0</v>
      </c>
      <c r="J997" s="77">
        <v>0</v>
      </c>
      <c r="K997" s="80"/>
      <c r="L997" s="155"/>
      <c r="M997" s="143"/>
    </row>
    <row r="998" ht="23.45" customHeight="1" spans="1:13">
      <c r="A998" s="107"/>
      <c r="B998" s="75"/>
      <c r="C998" s="75"/>
      <c r="D998" s="80">
        <v>2024</v>
      </c>
      <c r="E998" s="77">
        <v>0</v>
      </c>
      <c r="F998" s="77">
        <v>0</v>
      </c>
      <c r="G998" s="87">
        <v>0</v>
      </c>
      <c r="H998" s="87">
        <v>0</v>
      </c>
      <c r="I998" s="87">
        <v>0</v>
      </c>
      <c r="J998" s="77">
        <v>0</v>
      </c>
      <c r="K998" s="80"/>
      <c r="L998" s="155"/>
      <c r="M998" s="143"/>
    </row>
    <row r="999" ht="23.45" customHeight="1" spans="1:13">
      <c r="A999" s="107"/>
      <c r="B999" s="75"/>
      <c r="C999" s="75"/>
      <c r="D999" s="80">
        <v>2025</v>
      </c>
      <c r="E999" s="77">
        <f>H999+G999</f>
        <v>2715</v>
      </c>
      <c r="F999" s="77">
        <v>0</v>
      </c>
      <c r="G999" s="87">
        <v>2307.7</v>
      </c>
      <c r="H999" s="87">
        <f>I999</f>
        <v>407.3</v>
      </c>
      <c r="I999" s="87">
        <v>407.3</v>
      </c>
      <c r="J999" s="77">
        <v>0</v>
      </c>
      <c r="K999" s="80"/>
      <c r="L999" s="155"/>
      <c r="M999" s="143"/>
    </row>
    <row r="1000" ht="23.45" customHeight="1" spans="1:13">
      <c r="A1000" s="107"/>
      <c r="B1000" s="75"/>
      <c r="C1000" s="75"/>
      <c r="D1000" s="80">
        <v>2026</v>
      </c>
      <c r="E1000" s="77">
        <v>0</v>
      </c>
      <c r="F1000" s="77">
        <v>0</v>
      </c>
      <c r="G1000" s="87">
        <v>0</v>
      </c>
      <c r="H1000" s="87">
        <f>I1000</f>
        <v>0</v>
      </c>
      <c r="I1000" s="87">
        <v>0</v>
      </c>
      <c r="J1000" s="77">
        <v>0</v>
      </c>
      <c r="K1000" s="80"/>
      <c r="L1000" s="155"/>
      <c r="M1000" s="143"/>
    </row>
    <row r="1001" ht="23.45" customHeight="1" spans="1:13">
      <c r="A1001" s="107"/>
      <c r="B1001" s="75"/>
      <c r="C1001" s="75"/>
      <c r="D1001" s="80">
        <v>2027</v>
      </c>
      <c r="E1001" s="77">
        <f>G1001+H1001+I1001</f>
        <v>0</v>
      </c>
      <c r="F1001" s="77">
        <v>0</v>
      </c>
      <c r="G1001" s="87">
        <v>0</v>
      </c>
      <c r="H1001" s="87">
        <v>0</v>
      </c>
      <c r="I1001" s="87">
        <v>0</v>
      </c>
      <c r="J1001" s="77">
        <v>0</v>
      </c>
      <c r="K1001" s="80"/>
      <c r="L1001" s="155"/>
      <c r="M1001" s="143"/>
    </row>
    <row r="1002" ht="32.25" customHeight="1" spans="1:13">
      <c r="A1002" s="111"/>
      <c r="B1002" s="83"/>
      <c r="C1002" s="83"/>
      <c r="D1002" s="113">
        <v>2028</v>
      </c>
      <c r="E1002" s="114">
        <f>G1002+H1002</f>
        <v>11625.1</v>
      </c>
      <c r="F1002" s="114">
        <v>0</v>
      </c>
      <c r="G1002" s="116">
        <v>9881.2</v>
      </c>
      <c r="H1002" s="116">
        <v>1743.9</v>
      </c>
      <c r="I1002" s="116">
        <v>1743.9</v>
      </c>
      <c r="J1002" s="114">
        <v>0</v>
      </c>
      <c r="K1002" s="113"/>
      <c r="L1002" s="159"/>
      <c r="M1002" s="143"/>
    </row>
    <row r="1003" ht="19.5" customHeight="1" spans="1:13">
      <c r="A1003" s="102" t="s">
        <v>389</v>
      </c>
      <c r="B1003" s="103" t="s">
        <v>390</v>
      </c>
      <c r="C1003" s="103"/>
      <c r="D1003" s="153">
        <v>2018</v>
      </c>
      <c r="E1003" s="106">
        <v>0</v>
      </c>
      <c r="F1003" s="106">
        <v>0</v>
      </c>
      <c r="G1003" s="106">
        <v>0</v>
      </c>
      <c r="H1003" s="106">
        <v>0</v>
      </c>
      <c r="I1003" s="106">
        <v>0</v>
      </c>
      <c r="J1003" s="106">
        <v>0</v>
      </c>
      <c r="K1003" s="153" t="s">
        <v>391</v>
      </c>
      <c r="L1003" s="154" t="s">
        <v>35</v>
      </c>
      <c r="M1003" s="143"/>
    </row>
    <row r="1004" ht="19.5" spans="1:13">
      <c r="A1004" s="107"/>
      <c r="B1004" s="75"/>
      <c r="C1004" s="75"/>
      <c r="D1004" s="80">
        <v>2019</v>
      </c>
      <c r="E1004" s="77">
        <v>0</v>
      </c>
      <c r="F1004" s="77">
        <v>0</v>
      </c>
      <c r="G1004" s="77">
        <v>0</v>
      </c>
      <c r="H1004" s="77">
        <v>0</v>
      </c>
      <c r="I1004" s="77">
        <v>0</v>
      </c>
      <c r="J1004" s="77">
        <v>0</v>
      </c>
      <c r="K1004" s="80"/>
      <c r="L1004" s="155"/>
      <c r="M1004" s="143"/>
    </row>
    <row r="1005" ht="19.5" spans="1:13">
      <c r="A1005" s="107"/>
      <c r="B1005" s="75"/>
      <c r="C1005" s="75"/>
      <c r="D1005" s="80">
        <v>2020</v>
      </c>
      <c r="E1005" s="77">
        <v>0</v>
      </c>
      <c r="F1005" s="77">
        <v>0</v>
      </c>
      <c r="G1005" s="77">
        <v>0</v>
      </c>
      <c r="H1005" s="77">
        <v>0</v>
      </c>
      <c r="I1005" s="77">
        <v>0</v>
      </c>
      <c r="J1005" s="77">
        <v>0</v>
      </c>
      <c r="K1005" s="80"/>
      <c r="L1005" s="155"/>
      <c r="M1005" s="143"/>
    </row>
    <row r="1006" ht="19.5" spans="1:13">
      <c r="A1006" s="107"/>
      <c r="B1006" s="75"/>
      <c r="C1006" s="75"/>
      <c r="D1006" s="80">
        <v>2021</v>
      </c>
      <c r="E1006" s="77">
        <v>0</v>
      </c>
      <c r="F1006" s="77">
        <v>0</v>
      </c>
      <c r="G1006" s="77">
        <v>0</v>
      </c>
      <c r="H1006" s="77">
        <v>0</v>
      </c>
      <c r="I1006" s="77">
        <v>0</v>
      </c>
      <c r="J1006" s="77">
        <v>0</v>
      </c>
      <c r="K1006" s="80"/>
      <c r="L1006" s="155"/>
      <c r="M1006" s="143"/>
    </row>
    <row r="1007" ht="19.5" spans="1:13">
      <c r="A1007" s="107"/>
      <c r="B1007" s="75"/>
      <c r="C1007" s="75"/>
      <c r="D1007" s="80">
        <v>2022</v>
      </c>
      <c r="E1007" s="77">
        <v>0</v>
      </c>
      <c r="F1007" s="77">
        <v>0</v>
      </c>
      <c r="G1007" s="77">
        <v>0</v>
      </c>
      <c r="H1007" s="77">
        <v>0</v>
      </c>
      <c r="I1007" s="77">
        <v>0</v>
      </c>
      <c r="J1007" s="77">
        <v>0</v>
      </c>
      <c r="K1007" s="80"/>
      <c r="L1007" s="155"/>
      <c r="M1007" s="143"/>
    </row>
    <row r="1008" ht="19.5" spans="1:13">
      <c r="A1008" s="107"/>
      <c r="B1008" s="75"/>
      <c r="C1008" s="75"/>
      <c r="D1008" s="80">
        <v>2023</v>
      </c>
      <c r="E1008" s="77">
        <v>0</v>
      </c>
      <c r="F1008" s="77">
        <v>0</v>
      </c>
      <c r="G1008" s="77">
        <v>0</v>
      </c>
      <c r="H1008" s="77">
        <v>0</v>
      </c>
      <c r="I1008" s="77">
        <v>0</v>
      </c>
      <c r="J1008" s="77">
        <v>0</v>
      </c>
      <c r="K1008" s="80"/>
      <c r="L1008" s="155"/>
      <c r="M1008" s="143"/>
    </row>
    <row r="1009" ht="19.5" spans="1:13">
      <c r="A1009" s="107"/>
      <c r="B1009" s="75"/>
      <c r="C1009" s="75"/>
      <c r="D1009" s="80">
        <v>2024</v>
      </c>
      <c r="E1009" s="77">
        <f>F1009+G1009+H1009+I1009+J1009</f>
        <v>729.1</v>
      </c>
      <c r="F1009" s="77">
        <v>0</v>
      </c>
      <c r="G1009" s="87">
        <f>677.1+52</f>
        <v>729.1</v>
      </c>
      <c r="H1009" s="87">
        <v>0</v>
      </c>
      <c r="I1009" s="87">
        <v>0</v>
      </c>
      <c r="J1009" s="77">
        <v>0</v>
      </c>
      <c r="K1009" s="80"/>
      <c r="L1009" s="155"/>
      <c r="M1009" s="143"/>
    </row>
    <row r="1010" ht="19.5" spans="1:13">
      <c r="A1010" s="107"/>
      <c r="B1010" s="75"/>
      <c r="C1010" s="75"/>
      <c r="D1010" s="80">
        <v>2025</v>
      </c>
      <c r="E1010" s="77">
        <f>F1010</f>
        <v>2187.4</v>
      </c>
      <c r="F1010" s="77">
        <v>2187.4</v>
      </c>
      <c r="G1010" s="87">
        <v>0</v>
      </c>
      <c r="H1010" s="87">
        <v>0</v>
      </c>
      <c r="I1010" s="87">
        <v>0</v>
      </c>
      <c r="J1010" s="77">
        <v>0</v>
      </c>
      <c r="K1010" s="80"/>
      <c r="L1010" s="155"/>
      <c r="M1010" s="143"/>
    </row>
    <row r="1011" ht="24" customHeight="1" spans="1:13">
      <c r="A1011" s="107"/>
      <c r="B1011" s="75"/>
      <c r="C1011" s="75"/>
      <c r="D1011" s="80">
        <v>2026</v>
      </c>
      <c r="E1011" s="77">
        <f>F1011</f>
        <v>2239.5</v>
      </c>
      <c r="F1011" s="77">
        <v>2239.5</v>
      </c>
      <c r="G1011" s="87">
        <v>0</v>
      </c>
      <c r="H1011" s="87">
        <f>I1011</f>
        <v>0</v>
      </c>
      <c r="I1011" s="87">
        <v>0</v>
      </c>
      <c r="J1011" s="77">
        <v>0</v>
      </c>
      <c r="K1011" s="80"/>
      <c r="L1011" s="155"/>
      <c r="M1011" s="143"/>
    </row>
    <row r="1012" customHeight="1" spans="1:13">
      <c r="A1012" s="107"/>
      <c r="B1012" s="75"/>
      <c r="C1012" s="75"/>
      <c r="D1012" s="80">
        <v>2027</v>
      </c>
      <c r="E1012" s="77">
        <f>F1012</f>
        <v>2343.6</v>
      </c>
      <c r="F1012" s="77">
        <v>2343.6</v>
      </c>
      <c r="G1012" s="87">
        <v>0</v>
      </c>
      <c r="H1012" s="87">
        <f>I1012</f>
        <v>0</v>
      </c>
      <c r="I1012" s="87">
        <v>0</v>
      </c>
      <c r="J1012" s="77">
        <v>0</v>
      </c>
      <c r="K1012" s="80"/>
      <c r="L1012" s="155"/>
      <c r="M1012" s="143"/>
    </row>
    <row r="1013" customHeight="1" spans="1:13">
      <c r="A1013" s="111"/>
      <c r="B1013" s="83"/>
      <c r="C1013" s="83"/>
      <c r="D1013" s="113">
        <v>2028</v>
      </c>
      <c r="E1013" s="114">
        <f>F1013+G1013+H1013+I1013+J1013</f>
        <v>2343.6</v>
      </c>
      <c r="F1013" s="114">
        <v>2343.6</v>
      </c>
      <c r="G1013" s="116">
        <v>0</v>
      </c>
      <c r="H1013" s="116">
        <v>0</v>
      </c>
      <c r="I1013" s="116">
        <v>0</v>
      </c>
      <c r="J1013" s="114">
        <v>0</v>
      </c>
      <c r="K1013" s="113"/>
      <c r="L1013" s="159"/>
      <c r="M1013" s="143"/>
    </row>
    <row r="1014" ht="40.5" customHeight="1" spans="1:13">
      <c r="A1014" s="208" t="s">
        <v>392</v>
      </c>
      <c r="B1014" s="85" t="s">
        <v>393</v>
      </c>
      <c r="C1014" s="85"/>
      <c r="D1014" s="145">
        <v>2024</v>
      </c>
      <c r="E1014" s="88">
        <f>H1014</f>
        <v>377</v>
      </c>
      <c r="F1014" s="88">
        <v>0</v>
      </c>
      <c r="G1014" s="90">
        <v>0</v>
      </c>
      <c r="H1014" s="90">
        <v>377</v>
      </c>
      <c r="I1014" s="90">
        <v>0</v>
      </c>
      <c r="J1014" s="88">
        <v>0</v>
      </c>
      <c r="K1014" s="145" t="s">
        <v>362</v>
      </c>
      <c r="L1014" s="229" t="s">
        <v>35</v>
      </c>
      <c r="M1014" s="143"/>
    </row>
    <row r="1015" ht="40.5" customHeight="1" spans="1:13">
      <c r="A1015" s="107"/>
      <c r="B1015" s="75"/>
      <c r="C1015" s="75"/>
      <c r="D1015" s="80">
        <v>2025</v>
      </c>
      <c r="E1015" s="77">
        <v>0</v>
      </c>
      <c r="F1015" s="77">
        <v>0</v>
      </c>
      <c r="G1015" s="87">
        <v>0</v>
      </c>
      <c r="H1015" s="87">
        <v>0</v>
      </c>
      <c r="I1015" s="87">
        <v>0</v>
      </c>
      <c r="J1015" s="77">
        <v>0</v>
      </c>
      <c r="K1015" s="80"/>
      <c r="L1015" s="155"/>
      <c r="M1015" s="143"/>
    </row>
    <row r="1016" ht="40.5" customHeight="1" spans="1:13">
      <c r="A1016" s="107"/>
      <c r="B1016" s="75"/>
      <c r="C1016" s="75"/>
      <c r="D1016" s="80">
        <v>2026</v>
      </c>
      <c r="E1016" s="77">
        <v>0</v>
      </c>
      <c r="F1016" s="77">
        <v>0</v>
      </c>
      <c r="G1016" s="87">
        <v>0</v>
      </c>
      <c r="H1016" s="87">
        <v>0</v>
      </c>
      <c r="I1016" s="87">
        <v>0</v>
      </c>
      <c r="J1016" s="77">
        <v>0</v>
      </c>
      <c r="K1016" s="80"/>
      <c r="L1016" s="155"/>
      <c r="M1016" s="143"/>
    </row>
    <row r="1017" ht="40.5" customHeight="1" spans="1:13">
      <c r="A1017" s="107"/>
      <c r="B1017" s="75"/>
      <c r="C1017" s="75"/>
      <c r="D1017" s="80">
        <v>2027</v>
      </c>
      <c r="E1017" s="77">
        <v>0</v>
      </c>
      <c r="F1017" s="77">
        <v>0</v>
      </c>
      <c r="G1017" s="87">
        <v>0</v>
      </c>
      <c r="H1017" s="87">
        <v>0</v>
      </c>
      <c r="I1017" s="87">
        <v>0</v>
      </c>
      <c r="J1017" s="77">
        <v>0</v>
      </c>
      <c r="K1017" s="80"/>
      <c r="L1017" s="155"/>
      <c r="M1017" s="143"/>
    </row>
    <row r="1018" ht="30" customHeight="1" spans="1:13">
      <c r="A1018" s="205"/>
      <c r="B1018" s="74"/>
      <c r="C1018" s="74"/>
      <c r="D1018" s="82">
        <v>2028</v>
      </c>
      <c r="E1018" s="225">
        <v>0</v>
      </c>
      <c r="F1018" s="225">
        <v>0</v>
      </c>
      <c r="G1018" s="226">
        <v>0</v>
      </c>
      <c r="H1018" s="226">
        <v>0</v>
      </c>
      <c r="I1018" s="226">
        <v>0</v>
      </c>
      <c r="J1018" s="225">
        <v>0</v>
      </c>
      <c r="K1018" s="82"/>
      <c r="L1018" s="228"/>
      <c r="M1018" s="143"/>
    </row>
    <row r="1019" s="32" customFormat="1" ht="48" customHeight="1" spans="1:13">
      <c r="A1019" s="102" t="s">
        <v>394</v>
      </c>
      <c r="B1019" s="103" t="s">
        <v>395</v>
      </c>
      <c r="C1019" s="103"/>
      <c r="D1019" s="153">
        <v>2025</v>
      </c>
      <c r="E1019" s="106">
        <f>H1019</f>
        <v>20492.1</v>
      </c>
      <c r="F1019" s="106">
        <v>0</v>
      </c>
      <c r="G1019" s="227">
        <v>0</v>
      </c>
      <c r="H1019" s="227">
        <f>10000+10350+66.1+76</f>
        <v>20492.1</v>
      </c>
      <c r="I1019" s="227">
        <v>0</v>
      </c>
      <c r="J1019" s="106">
        <v>0</v>
      </c>
      <c r="K1019" s="153" t="s">
        <v>396</v>
      </c>
      <c r="L1019" s="154" t="s">
        <v>35</v>
      </c>
      <c r="M1019" s="230"/>
    </row>
    <row r="1020" ht="53.25" customHeight="1" spans="1:13">
      <c r="A1020" s="107"/>
      <c r="B1020" s="75"/>
      <c r="C1020" s="75"/>
      <c r="D1020" s="80">
        <v>2026</v>
      </c>
      <c r="E1020" s="77">
        <f>H1020</f>
        <v>0</v>
      </c>
      <c r="F1020" s="77">
        <v>0</v>
      </c>
      <c r="G1020" s="87">
        <v>0</v>
      </c>
      <c r="H1020" s="87">
        <v>0</v>
      </c>
      <c r="I1020" s="87">
        <v>0</v>
      </c>
      <c r="J1020" s="77">
        <v>0</v>
      </c>
      <c r="K1020" s="80"/>
      <c r="L1020" s="155"/>
      <c r="M1020" s="143"/>
    </row>
    <row r="1021" ht="50.25" customHeight="1" spans="1:13">
      <c r="A1021" s="107"/>
      <c r="B1021" s="75"/>
      <c r="C1021" s="75"/>
      <c r="D1021" s="80">
        <v>2027</v>
      </c>
      <c r="E1021" s="77">
        <f>H1021</f>
        <v>0</v>
      </c>
      <c r="F1021" s="77">
        <v>0</v>
      </c>
      <c r="G1021" s="87">
        <v>0</v>
      </c>
      <c r="H1021" s="87">
        <v>0</v>
      </c>
      <c r="I1021" s="87">
        <v>0</v>
      </c>
      <c r="J1021" s="77">
        <v>0</v>
      </c>
      <c r="K1021" s="80"/>
      <c r="L1021" s="155"/>
      <c r="M1021" s="143"/>
    </row>
    <row r="1022" ht="42.75" customHeight="1" spans="1:13">
      <c r="A1022" s="111"/>
      <c r="B1022" s="83"/>
      <c r="C1022" s="83"/>
      <c r="D1022" s="113">
        <v>2028</v>
      </c>
      <c r="E1022" s="114">
        <v>0</v>
      </c>
      <c r="F1022" s="114">
        <v>0</v>
      </c>
      <c r="G1022" s="116">
        <v>0</v>
      </c>
      <c r="H1022" s="116">
        <v>0</v>
      </c>
      <c r="I1022" s="116">
        <v>0</v>
      </c>
      <c r="J1022" s="114">
        <v>0</v>
      </c>
      <c r="K1022" s="113"/>
      <c r="L1022" s="159"/>
      <c r="M1022" s="143"/>
    </row>
    <row r="1023" ht="121.5" customHeight="1" spans="1:13">
      <c r="A1023" s="208" t="s">
        <v>397</v>
      </c>
      <c r="B1023" s="85" t="s">
        <v>398</v>
      </c>
      <c r="C1023" s="85"/>
      <c r="D1023" s="145">
        <v>2026</v>
      </c>
      <c r="E1023" s="88">
        <f>H1023</f>
        <v>0</v>
      </c>
      <c r="F1023" s="88">
        <v>0</v>
      </c>
      <c r="G1023" s="90">
        <v>0</v>
      </c>
      <c r="H1023" s="90">
        <v>0</v>
      </c>
      <c r="I1023" s="90">
        <f>H1023</f>
        <v>0</v>
      </c>
      <c r="J1023" s="88">
        <v>0</v>
      </c>
      <c r="K1023" s="231" t="s">
        <v>399</v>
      </c>
      <c r="L1023" s="229" t="s">
        <v>35</v>
      </c>
      <c r="M1023" s="143"/>
    </row>
    <row r="1024" ht="59.25" customHeight="1" spans="1:13">
      <c r="A1024" s="107"/>
      <c r="B1024" s="75"/>
      <c r="C1024" s="75"/>
      <c r="D1024" s="80">
        <v>2027</v>
      </c>
      <c r="E1024" s="77">
        <f>F1024+G1024+H1024+I1024+J1024</f>
        <v>0</v>
      </c>
      <c r="F1024" s="77">
        <v>0</v>
      </c>
      <c r="G1024" s="87">
        <v>0</v>
      </c>
      <c r="H1024" s="87">
        <v>0</v>
      </c>
      <c r="I1024" s="87">
        <v>0</v>
      </c>
      <c r="J1024" s="77">
        <v>0</v>
      </c>
      <c r="K1024" s="232"/>
      <c r="L1024" s="155"/>
      <c r="M1024" s="143"/>
    </row>
    <row r="1025" ht="48" customHeight="1" spans="1:13">
      <c r="A1025" s="205"/>
      <c r="B1025" s="74"/>
      <c r="C1025" s="74"/>
      <c r="D1025" s="82">
        <v>2028</v>
      </c>
      <c r="E1025" s="225">
        <f>F1025+G1025+H1025+I1025+J1025</f>
        <v>0</v>
      </c>
      <c r="F1025" s="225">
        <v>0</v>
      </c>
      <c r="G1025" s="226">
        <v>0</v>
      </c>
      <c r="H1025" s="226">
        <v>0</v>
      </c>
      <c r="I1025" s="226">
        <v>0</v>
      </c>
      <c r="J1025" s="225">
        <v>0</v>
      </c>
      <c r="K1025" s="307"/>
      <c r="L1025" s="228"/>
      <c r="M1025" s="143"/>
    </row>
    <row r="1026" ht="50.25" customHeight="1" spans="1:13">
      <c r="A1026" s="205" t="s">
        <v>400</v>
      </c>
      <c r="B1026" s="74" t="s">
        <v>401</v>
      </c>
      <c r="C1026" s="83"/>
      <c r="D1026" s="80">
        <v>2025</v>
      </c>
      <c r="E1026" s="77">
        <f>455.2-7.2</f>
        <v>448</v>
      </c>
      <c r="F1026" s="77">
        <v>0</v>
      </c>
      <c r="G1026" s="87">
        <v>0</v>
      </c>
      <c r="H1026" s="87">
        <f>455.2-7.2</f>
        <v>448</v>
      </c>
      <c r="I1026" s="87">
        <v>0</v>
      </c>
      <c r="J1026" s="77">
        <v>0</v>
      </c>
      <c r="K1026" s="307" t="s">
        <v>402</v>
      </c>
      <c r="L1026" s="228" t="s">
        <v>35</v>
      </c>
      <c r="M1026" s="143"/>
    </row>
    <row r="1027" ht="54.75" customHeight="1" spans="1:13">
      <c r="A1027" s="206"/>
      <c r="B1027" s="79"/>
      <c r="C1027" s="172"/>
      <c r="D1027" s="80">
        <v>2026</v>
      </c>
      <c r="E1027" s="77">
        <v>1172.9</v>
      </c>
      <c r="F1027" s="77">
        <v>0</v>
      </c>
      <c r="G1027" s="87">
        <v>0</v>
      </c>
      <c r="H1027" s="87">
        <v>1172.9</v>
      </c>
      <c r="I1027" s="87">
        <v>0</v>
      </c>
      <c r="J1027" s="77">
        <v>0</v>
      </c>
      <c r="K1027" s="308"/>
      <c r="L1027" s="309"/>
      <c r="M1027" s="143"/>
    </row>
    <row r="1028" ht="44.25" customHeight="1" spans="1:13">
      <c r="A1028" s="206"/>
      <c r="B1028" s="79"/>
      <c r="C1028" s="172"/>
      <c r="D1028" s="80">
        <v>2027</v>
      </c>
      <c r="E1028" s="77">
        <f>F1028+G1028+H1028+I1028+J1028</f>
        <v>1172.9</v>
      </c>
      <c r="F1028" s="77">
        <v>0</v>
      </c>
      <c r="G1028" s="87">
        <v>0</v>
      </c>
      <c r="H1028" s="87">
        <f>37.3+1135.6</f>
        <v>1172.9</v>
      </c>
      <c r="I1028" s="87">
        <v>0</v>
      </c>
      <c r="J1028" s="77">
        <v>0</v>
      </c>
      <c r="K1028" s="308"/>
      <c r="L1028" s="309"/>
      <c r="M1028" s="143"/>
    </row>
    <row r="1029" ht="44.25" customHeight="1" spans="1:13">
      <c r="A1029" s="233"/>
      <c r="B1029" s="172"/>
      <c r="C1029" s="172"/>
      <c r="D1029" s="234">
        <v>2028</v>
      </c>
      <c r="E1029" s="235">
        <f>F1029+G1029+H1029+I1029+J1029</f>
        <v>1172.9</v>
      </c>
      <c r="F1029" s="235">
        <v>0</v>
      </c>
      <c r="G1029" s="121">
        <v>0</v>
      </c>
      <c r="H1029" s="121">
        <f>37.3+1135.6</f>
        <v>1172.9</v>
      </c>
      <c r="I1029" s="121">
        <v>0</v>
      </c>
      <c r="J1029" s="235">
        <v>0</v>
      </c>
      <c r="K1029" s="310"/>
      <c r="L1029" s="311"/>
      <c r="M1029" s="143"/>
    </row>
    <row r="1030" s="23" customFormat="1" ht="195.75" customHeight="1" spans="1:13">
      <c r="A1030" s="102" t="s">
        <v>403</v>
      </c>
      <c r="B1030" s="103" t="s">
        <v>404</v>
      </c>
      <c r="C1030" s="85"/>
      <c r="D1030" s="145">
        <v>2025</v>
      </c>
      <c r="E1030" s="88">
        <f>H1030</f>
        <v>31221.4</v>
      </c>
      <c r="F1030" s="88">
        <v>0</v>
      </c>
      <c r="G1030" s="90">
        <v>0</v>
      </c>
      <c r="H1030" s="90">
        <v>31221.4</v>
      </c>
      <c r="I1030" s="90">
        <v>0</v>
      </c>
      <c r="J1030" s="88">
        <v>0</v>
      </c>
      <c r="K1030" s="231" t="s">
        <v>405</v>
      </c>
      <c r="L1030" s="229" t="s">
        <v>35</v>
      </c>
      <c r="M1030" s="194"/>
    </row>
    <row r="1031" ht="19.5" customHeight="1" spans="1:13">
      <c r="A1031" s="236"/>
      <c r="B1031" s="237"/>
      <c r="C1031" s="238">
        <v>0</v>
      </c>
      <c r="D1031" s="345" t="s">
        <v>27</v>
      </c>
      <c r="E1031" s="239">
        <f>F1031+G1031+H1031+J1031</f>
        <v>26400794.9</v>
      </c>
      <c r="F1031" s="121">
        <f>F741+F742+F743+F744+F745+F746+F747+F748+F735+F737+F749+F738</f>
        <v>800457.2</v>
      </c>
      <c r="G1031" s="121">
        <f>G89+G90+G91+G92+G93+G94+G95+G96+G98+G105+G106+G107+G109+G173+G174+G175+G176+G177+G178+G179+G180+G182+G189+G190+G191+G193+G354+G355+G367+G368+G369+G370+G371+G372+G374+G376+G377+G378+G379+G380+G381+G382+G383+G385+G387+G388+G389+G390+G391+G392+G393+G394+G396+G442+G443+G444+G445+G446+G447+G448+G449+G451+G453+G454+G459+G460+G462+G468+G470+G471+G473+G508+G509+G510+G511+G512+G513+G514+G515+G517+G563+G564+G565+G566+G567+G568+G569+G570+G572+G607+G611+G613+G614+G616+G619+G624+G625+G627+G630+G635+G636+G638+G642+G643+G644+G645+G646+G647+G649+G652+G657+G658+G660+G664+G668+G669+G671+G685+G686+G690+G691+G693+G730+G731+G732+G733+G734+G735+G737+G752+G756+G757+G759+G809+G810+G811+G812+G814+G820+G821+G822+G823+G825+G831+G832+G833+G843+G844+G845+G847+G854+G855+G856+G858+G824+G813+G736+G516+G450+G395+G384+G373+G192+G108+G97+G1009+G181+G846+G857+G1010+G1011+G1012+G999+G834+G835+G836+G1014+G1015+G1016+G1017+G1018+G1019+G1020+G1021+G1022+G1002+G1013+G991+G859+G848+G837+G826+G815+G760+G738+G694+G672+G661+G650+G639+G628+G617+G573+G518+G474+G463+G452+G397+G386+G375+G194+G183+G110+G99</f>
        <v>17584994.5</v>
      </c>
      <c r="H1031" s="121">
        <f>H78+H79+H80+H81+H82+H83+H84+H85+H87+H162+H163+H164+H165+H166+H167+H168+H169+H171+H261+H262+H263+H264+H265+H266+H267+H268+H270+H398+H399+H400+H401+H402+H403+H404+H405+H407+H409+H410+H411+H412+H413+H414+H415+H416+H418+H420+H421+H422+H423+H424+H425+H426+H427+H429+H432+H453+H454+H455+H457+H459+H460+H462+H468+H475+H476+H488+H489+H490+H491+H492+H493+H495+H497+H530+H531+H532+H533+H534+H535+H536+H537+H539+H541+H542+H543+H544+H574+H575+H576+H577+H578+H579+H580+H581+H583+H589+H590+H591+H592+H594++H607+H611+H619+H630+H631+H642+H643+H645+H646+H647+H649+H652+H664+H674+H685+H686+H696+H697+H708+H730+H731+H732+H733+H734+H735+H737+H752+H763+H764+H765+H766+H767+H768+H770+H775+H787+H788+H789+H790+H792+H798+H799+H800++H801+H803+H820+H821+H822+H823+H825+H843+H844+H845+H847+H854+H855+H865+H876+H898+H909+H910+H911+H913+H920+H921+H922+H924+H931+H588+H406+H417+H428+H461+H494+H538+H582+H593+H736+H791+H802+H824+H899+H912+H923+H999+H987+H269+H170+H86+H526+H527+H528+H1014+H1015+H1016+H1017+H846+H769+H1019+H1020+H1021+H1022+H1018+H1000+H1001+H1002+H988+H989+H990+H991+H925+H914+H900+H901+H902+H903+H856+H857+H858+H859+H848+H826+H804+H793+H771+H738+H650+H595+H584+H496+H463+H430+H419+H408+H271+H172+H88+H1023+H1026+H1027+H1030</f>
        <v>6788318.9</v>
      </c>
      <c r="I1031" s="121">
        <f>I453+I454+I468+I607+I611+I619+I630+I642+I643+I645+I646+I647+I652+I664+I685+I686+I730+I731+I732+I733+I734+I735+I736+I737+I752+I820+I821+I822+I823+I824+I825+I843+I855+I854+I999+I1000+I1001+I1002+I856+I857+I858+I859+I844+I845+I846+I847+I848+I826+I738+I648+I649+I650</f>
        <v>138736.1</v>
      </c>
      <c r="J1031" s="121">
        <f>J151+J152+J153+J154+J155+J156+J157+J158+J159+J160+J250+J251+J252+J253+J254+J255+J256+J257+J258+J259+J260+J161</f>
        <v>1227024.3</v>
      </c>
      <c r="K1031" s="312"/>
      <c r="L1031" s="313"/>
      <c r="M1031" s="314"/>
    </row>
    <row r="1032" ht="20.25" spans="1:13">
      <c r="A1032" s="240">
        <v>5</v>
      </c>
      <c r="B1032" s="241" t="s">
        <v>406</v>
      </c>
      <c r="C1032" s="242"/>
      <c r="D1032" s="242"/>
      <c r="E1032" s="242"/>
      <c r="F1032" s="242"/>
      <c r="G1032" s="242"/>
      <c r="H1032" s="242"/>
      <c r="I1032" s="242"/>
      <c r="J1032" s="242"/>
      <c r="K1032" s="242"/>
      <c r="L1032" s="315"/>
      <c r="M1032" s="139"/>
    </row>
    <row r="1033" ht="20.25" spans="1:13">
      <c r="A1033" s="243" t="s">
        <v>407</v>
      </c>
      <c r="B1033" s="244"/>
      <c r="C1033" s="244"/>
      <c r="D1033" s="244"/>
      <c r="E1033" s="244"/>
      <c r="F1033" s="244"/>
      <c r="G1033" s="244"/>
      <c r="H1033" s="244"/>
      <c r="I1033" s="244"/>
      <c r="J1033" s="244"/>
      <c r="K1033" s="244"/>
      <c r="L1033" s="316"/>
      <c r="M1033" s="165"/>
    </row>
    <row r="1034" ht="17.25" customHeight="1" spans="1:13">
      <c r="A1034" s="245" t="s">
        <v>408</v>
      </c>
      <c r="B1034" s="246" t="s">
        <v>409</v>
      </c>
      <c r="C1034" s="247">
        <v>0</v>
      </c>
      <c r="D1034" s="248">
        <v>2018</v>
      </c>
      <c r="E1034" s="106">
        <f>F1034+G1034+H1034+J1034</f>
        <v>35153.1</v>
      </c>
      <c r="F1034" s="106">
        <v>0</v>
      </c>
      <c r="G1034" s="106">
        <v>8142.6</v>
      </c>
      <c r="H1034" s="106">
        <v>27010.5</v>
      </c>
      <c r="I1034" s="106">
        <v>0</v>
      </c>
      <c r="J1034" s="317">
        <v>0</v>
      </c>
      <c r="K1034" s="318" t="s">
        <v>410</v>
      </c>
      <c r="L1034" s="319" t="s">
        <v>411</v>
      </c>
      <c r="M1034" s="143"/>
    </row>
    <row r="1035" ht="17.25" customHeight="1" spans="1:13">
      <c r="A1035" s="249"/>
      <c r="B1035" s="250"/>
      <c r="C1035" s="251">
        <v>0</v>
      </c>
      <c r="D1035" s="252">
        <v>2019</v>
      </c>
      <c r="E1035" s="77">
        <f t="shared" ref="E1035:E1054" si="101">F1035+G1035+H1035+J1035</f>
        <v>38169.3</v>
      </c>
      <c r="F1035" s="77">
        <v>0</v>
      </c>
      <c r="G1035" s="77">
        <v>8689.5</v>
      </c>
      <c r="H1035" s="77">
        <v>29479.8</v>
      </c>
      <c r="I1035" s="77">
        <v>0</v>
      </c>
      <c r="J1035" s="320">
        <v>0</v>
      </c>
      <c r="K1035" s="321"/>
      <c r="L1035" s="322"/>
      <c r="M1035" s="143"/>
    </row>
    <row r="1036" ht="17.25" customHeight="1" spans="1:13">
      <c r="A1036" s="249"/>
      <c r="B1036" s="250"/>
      <c r="C1036" s="251">
        <v>0</v>
      </c>
      <c r="D1036" s="253">
        <v>2020</v>
      </c>
      <c r="E1036" s="77">
        <f t="shared" si="101"/>
        <v>42060.7</v>
      </c>
      <c r="F1036" s="86">
        <v>0</v>
      </c>
      <c r="G1036" s="77">
        <v>10752.9</v>
      </c>
      <c r="H1036" s="77">
        <v>31307.8</v>
      </c>
      <c r="I1036" s="77">
        <v>0</v>
      </c>
      <c r="J1036" s="320">
        <v>0</v>
      </c>
      <c r="K1036" s="321"/>
      <c r="L1036" s="322"/>
      <c r="M1036" s="143"/>
    </row>
    <row r="1037" ht="17.25" customHeight="1" spans="1:13">
      <c r="A1037" s="249"/>
      <c r="B1037" s="250"/>
      <c r="C1037" s="254">
        <v>0</v>
      </c>
      <c r="D1037" s="253">
        <v>2021</v>
      </c>
      <c r="E1037" s="77">
        <f t="shared" si="101"/>
        <v>43966.7</v>
      </c>
      <c r="F1037" s="86">
        <v>0</v>
      </c>
      <c r="G1037" s="77">
        <v>13600.6</v>
      </c>
      <c r="H1037" s="77">
        <v>30366.1</v>
      </c>
      <c r="I1037" s="77">
        <v>0</v>
      </c>
      <c r="J1037" s="320">
        <v>0</v>
      </c>
      <c r="K1037" s="321"/>
      <c r="L1037" s="322"/>
      <c r="M1037" s="143"/>
    </row>
    <row r="1038" ht="17.25" customHeight="1" spans="1:13">
      <c r="A1038" s="249"/>
      <c r="B1038" s="250"/>
      <c r="C1038" s="254">
        <v>0</v>
      </c>
      <c r="D1038" s="253">
        <v>2022</v>
      </c>
      <c r="E1038" s="77">
        <f t="shared" si="101"/>
        <v>50085</v>
      </c>
      <c r="F1038" s="86">
        <v>0</v>
      </c>
      <c r="G1038" s="77">
        <f>13383.8+35.2+849+134.9+461.4</f>
        <v>14864.3</v>
      </c>
      <c r="H1038" s="77">
        <v>35220.7</v>
      </c>
      <c r="I1038" s="77">
        <v>0</v>
      </c>
      <c r="J1038" s="320">
        <v>0</v>
      </c>
      <c r="K1038" s="321"/>
      <c r="L1038" s="322"/>
      <c r="M1038" s="143"/>
    </row>
    <row r="1039" ht="17.25" customHeight="1" spans="1:13">
      <c r="A1039" s="249"/>
      <c r="B1039" s="250"/>
      <c r="C1039" s="254">
        <v>0</v>
      </c>
      <c r="D1039" s="253">
        <v>2023</v>
      </c>
      <c r="E1039" s="77">
        <f t="shared" si="101"/>
        <v>52728.9</v>
      </c>
      <c r="F1039" s="86">
        <v>0</v>
      </c>
      <c r="G1039" s="77">
        <f>15525.3+25.6+24.1</f>
        <v>15575</v>
      </c>
      <c r="H1039" s="77">
        <f>36821.5+332.4</f>
        <v>37153.9</v>
      </c>
      <c r="I1039" s="77">
        <v>0</v>
      </c>
      <c r="J1039" s="320">
        <v>0</v>
      </c>
      <c r="K1039" s="321"/>
      <c r="L1039" s="322"/>
      <c r="M1039" s="143"/>
    </row>
    <row r="1040" ht="17.25" customHeight="1" spans="1:13">
      <c r="A1040" s="249"/>
      <c r="B1040" s="250"/>
      <c r="C1040" s="254">
        <v>0</v>
      </c>
      <c r="D1040" s="253">
        <v>2024</v>
      </c>
      <c r="E1040" s="77">
        <f t="shared" si="101"/>
        <v>73733.4</v>
      </c>
      <c r="F1040" s="86">
        <v>0</v>
      </c>
      <c r="G1040" s="77">
        <v>20228.2</v>
      </c>
      <c r="H1040" s="87">
        <f>40756.1+6454+1894.9+3258.2+1142</f>
        <v>53505.2</v>
      </c>
      <c r="I1040" s="77">
        <v>0</v>
      </c>
      <c r="J1040" s="320">
        <v>0</v>
      </c>
      <c r="K1040" s="321"/>
      <c r="L1040" s="322"/>
      <c r="M1040" s="143"/>
    </row>
    <row r="1041" ht="17.25" customHeight="1" spans="1:13">
      <c r="A1041" s="249"/>
      <c r="B1041" s="250"/>
      <c r="C1041" s="255">
        <v>0</v>
      </c>
      <c r="D1041" s="253">
        <v>2025</v>
      </c>
      <c r="E1041" s="77">
        <f t="shared" si="101"/>
        <v>89917.3</v>
      </c>
      <c r="F1041" s="86">
        <v>0</v>
      </c>
      <c r="G1041" s="77">
        <f>16671.1+7225.6-157.2+292.2+1424.3+1</f>
        <v>25457</v>
      </c>
      <c r="H1041" s="87">
        <f>62792.6+896+384+393.9+354.2-360.4</f>
        <v>64460.3</v>
      </c>
      <c r="I1041" s="77">
        <v>0</v>
      </c>
      <c r="J1041" s="320">
        <v>0</v>
      </c>
      <c r="K1041" s="321"/>
      <c r="L1041" s="322"/>
      <c r="M1041" s="143"/>
    </row>
    <row r="1042" ht="17.25" customHeight="1" spans="1:13">
      <c r="A1042" s="249"/>
      <c r="B1042" s="250"/>
      <c r="C1042" s="256"/>
      <c r="D1042" s="257">
        <v>2026</v>
      </c>
      <c r="E1042" s="225">
        <f t="shared" si="101"/>
        <v>101119</v>
      </c>
      <c r="F1042" s="258">
        <v>0</v>
      </c>
      <c r="G1042" s="225">
        <v>29921.2</v>
      </c>
      <c r="H1042" s="259">
        <f>69373.3+870.8+953.7</f>
        <v>71197.8</v>
      </c>
      <c r="I1042" s="225">
        <v>0</v>
      </c>
      <c r="J1042" s="323">
        <v>0</v>
      </c>
      <c r="K1042" s="321"/>
      <c r="L1042" s="322"/>
      <c r="M1042" s="143"/>
    </row>
    <row r="1043" ht="17.25" customHeight="1" spans="1:13">
      <c r="A1043" s="249"/>
      <c r="B1043" s="250"/>
      <c r="C1043" s="260"/>
      <c r="D1043" s="253">
        <v>2027</v>
      </c>
      <c r="E1043" s="77">
        <f t="shared" si="101"/>
        <v>104541.2</v>
      </c>
      <c r="F1043" s="86">
        <v>0</v>
      </c>
      <c r="G1043" s="77">
        <v>33368.8</v>
      </c>
      <c r="H1043" s="87">
        <v>71172.4</v>
      </c>
      <c r="I1043" s="77">
        <v>0</v>
      </c>
      <c r="J1043" s="320">
        <v>0</v>
      </c>
      <c r="K1043" s="321"/>
      <c r="L1043" s="322"/>
      <c r="M1043" s="143"/>
    </row>
    <row r="1044" ht="17.25" customHeight="1" spans="1:13">
      <c r="A1044" s="249"/>
      <c r="B1044" s="261"/>
      <c r="C1044" s="260"/>
      <c r="D1044" s="262">
        <v>2028</v>
      </c>
      <c r="E1044" s="88">
        <f>F1044+G1044+H1044+I1044+J1044</f>
        <v>106837.7</v>
      </c>
      <c r="F1044" s="89">
        <v>0</v>
      </c>
      <c r="G1044" s="88">
        <v>35632.4</v>
      </c>
      <c r="H1044" s="90">
        <v>71205.3</v>
      </c>
      <c r="I1044" s="88">
        <v>0</v>
      </c>
      <c r="J1044" s="324">
        <v>0</v>
      </c>
      <c r="K1044" s="262"/>
      <c r="L1044" s="325"/>
      <c r="M1044" s="143"/>
    </row>
    <row r="1045" ht="19.5" spans="1:13">
      <c r="A1045" s="249" t="s">
        <v>412</v>
      </c>
      <c r="B1045" s="263" t="s">
        <v>413</v>
      </c>
      <c r="C1045" s="264">
        <v>0</v>
      </c>
      <c r="D1045" s="265">
        <v>2018</v>
      </c>
      <c r="E1045" s="88">
        <f t="shared" si="101"/>
        <v>8798.3</v>
      </c>
      <c r="F1045" s="88">
        <v>0</v>
      </c>
      <c r="G1045" s="88">
        <v>0</v>
      </c>
      <c r="H1045" s="88">
        <v>8798.3</v>
      </c>
      <c r="I1045" s="88">
        <v>0</v>
      </c>
      <c r="J1045" s="324">
        <v>0</v>
      </c>
      <c r="K1045" s="321" t="s">
        <v>414</v>
      </c>
      <c r="L1045" s="144" t="s">
        <v>415</v>
      </c>
      <c r="M1045" s="143"/>
    </row>
    <row r="1046" ht="19.5" spans="1:13">
      <c r="A1046" s="249"/>
      <c r="B1046" s="263"/>
      <c r="C1046" s="251">
        <v>0</v>
      </c>
      <c r="D1046" s="252">
        <v>2019</v>
      </c>
      <c r="E1046" s="77">
        <f t="shared" si="101"/>
        <v>8535.7</v>
      </c>
      <c r="F1046" s="77">
        <v>0</v>
      </c>
      <c r="G1046" s="77">
        <v>0</v>
      </c>
      <c r="H1046" s="77">
        <v>8535.7</v>
      </c>
      <c r="I1046" s="77">
        <v>0</v>
      </c>
      <c r="J1046" s="320">
        <v>0</v>
      </c>
      <c r="K1046" s="321"/>
      <c r="L1046" s="144"/>
      <c r="M1046" s="143"/>
    </row>
    <row r="1047" ht="19.5" spans="1:13">
      <c r="A1047" s="249"/>
      <c r="B1047" s="263"/>
      <c r="C1047" s="251">
        <v>0</v>
      </c>
      <c r="D1047" s="253">
        <v>2020</v>
      </c>
      <c r="E1047" s="77">
        <f t="shared" si="101"/>
        <v>9713.2</v>
      </c>
      <c r="F1047" s="86">
        <v>0</v>
      </c>
      <c r="G1047" s="77">
        <v>1315.2</v>
      </c>
      <c r="H1047" s="77">
        <v>8398</v>
      </c>
      <c r="I1047" s="77">
        <v>0</v>
      </c>
      <c r="J1047" s="320">
        <v>0</v>
      </c>
      <c r="K1047" s="321"/>
      <c r="L1047" s="144"/>
      <c r="M1047" s="143"/>
    </row>
    <row r="1048" ht="17.25" customHeight="1" spans="1:13">
      <c r="A1048" s="249"/>
      <c r="B1048" s="263"/>
      <c r="C1048" s="254">
        <v>0</v>
      </c>
      <c r="D1048" s="253">
        <v>2021</v>
      </c>
      <c r="E1048" s="77">
        <f t="shared" si="101"/>
        <v>9083.2</v>
      </c>
      <c r="F1048" s="86">
        <v>0</v>
      </c>
      <c r="G1048" s="77">
        <v>500</v>
      </c>
      <c r="H1048" s="77">
        <v>8583.2</v>
      </c>
      <c r="I1048" s="77">
        <v>0</v>
      </c>
      <c r="J1048" s="320">
        <v>0</v>
      </c>
      <c r="K1048" s="321"/>
      <c r="L1048" s="144"/>
      <c r="M1048" s="143"/>
    </row>
    <row r="1049" ht="17.25" customHeight="1" spans="1:13">
      <c r="A1049" s="249"/>
      <c r="B1049" s="263"/>
      <c r="C1049" s="254">
        <v>0</v>
      </c>
      <c r="D1049" s="253">
        <v>2022</v>
      </c>
      <c r="E1049" s="77">
        <f t="shared" si="101"/>
        <v>11250.3</v>
      </c>
      <c r="F1049" s="86">
        <v>0</v>
      </c>
      <c r="G1049" s="77">
        <f>1000-134.9</f>
        <v>865.1</v>
      </c>
      <c r="H1049" s="77">
        <f>10395.2-3.7-6.3</f>
        <v>10385.2</v>
      </c>
      <c r="I1049" s="77">
        <v>0</v>
      </c>
      <c r="J1049" s="320">
        <v>0</v>
      </c>
      <c r="K1049" s="321"/>
      <c r="L1049" s="144"/>
      <c r="M1049" s="143"/>
    </row>
    <row r="1050" ht="17.25" customHeight="1" spans="1:13">
      <c r="A1050" s="249"/>
      <c r="B1050" s="263"/>
      <c r="C1050" s="254">
        <v>0</v>
      </c>
      <c r="D1050" s="253">
        <v>2023</v>
      </c>
      <c r="E1050" s="77">
        <f t="shared" si="101"/>
        <v>12075.6</v>
      </c>
      <c r="F1050" s="86">
        <v>0</v>
      </c>
      <c r="G1050" s="77">
        <f>1314.2+3.7-24.5</f>
        <v>1293.4</v>
      </c>
      <c r="H1050" s="77">
        <f>10681.8+100.4</f>
        <v>10782.2</v>
      </c>
      <c r="I1050" s="77">
        <v>0</v>
      </c>
      <c r="J1050" s="320">
        <v>0</v>
      </c>
      <c r="K1050" s="321"/>
      <c r="L1050" s="144"/>
      <c r="M1050" s="143"/>
    </row>
    <row r="1051" ht="17.25" customHeight="1" spans="1:13">
      <c r="A1051" s="249"/>
      <c r="B1051" s="263"/>
      <c r="C1051" s="254">
        <v>0</v>
      </c>
      <c r="D1051" s="253">
        <v>2024</v>
      </c>
      <c r="E1051" s="77">
        <f t="shared" si="101"/>
        <v>16953</v>
      </c>
      <c r="F1051" s="86">
        <v>0</v>
      </c>
      <c r="G1051" s="77">
        <v>1431.8</v>
      </c>
      <c r="H1051" s="87">
        <f>13790.9+1197.6+532.7</f>
        <v>15521.2</v>
      </c>
      <c r="I1051" s="77">
        <v>0</v>
      </c>
      <c r="J1051" s="320">
        <v>0</v>
      </c>
      <c r="K1051" s="321"/>
      <c r="L1051" s="144"/>
      <c r="M1051" s="143"/>
    </row>
    <row r="1052" ht="17.25" customHeight="1" spans="1:13">
      <c r="A1052" s="249"/>
      <c r="B1052" s="263"/>
      <c r="C1052" s="254">
        <v>0</v>
      </c>
      <c r="D1052" s="253">
        <v>2025</v>
      </c>
      <c r="E1052" s="77">
        <f t="shared" si="101"/>
        <v>18964.5</v>
      </c>
      <c r="F1052" s="86">
        <v>0</v>
      </c>
      <c r="G1052" s="77">
        <f>1147.8+157.2+351.4+322</f>
        <v>1978.4</v>
      </c>
      <c r="H1052" s="87">
        <f>16961+1117.2-393.9+84.9-351.4-322-109.7</f>
        <v>16986.1</v>
      </c>
      <c r="I1052" s="77">
        <v>0</v>
      </c>
      <c r="J1052" s="320">
        <v>0</v>
      </c>
      <c r="K1052" s="321"/>
      <c r="L1052" s="144"/>
      <c r="M1052" s="143"/>
    </row>
    <row r="1053" ht="17.25" customHeight="1" spans="1:13">
      <c r="A1053" s="249"/>
      <c r="B1053" s="263"/>
      <c r="C1053" s="254"/>
      <c r="D1053" s="253">
        <v>2026</v>
      </c>
      <c r="E1053" s="77">
        <f t="shared" si="101"/>
        <v>19731.1</v>
      </c>
      <c r="F1053" s="86">
        <v>0</v>
      </c>
      <c r="G1053" s="77">
        <v>1723.1</v>
      </c>
      <c r="H1053" s="87">
        <f>18008</f>
        <v>18008</v>
      </c>
      <c r="I1053" s="77">
        <v>0</v>
      </c>
      <c r="J1053" s="320">
        <v>0</v>
      </c>
      <c r="K1053" s="321"/>
      <c r="L1053" s="144"/>
      <c r="M1053" s="143"/>
    </row>
    <row r="1054" ht="17.25" customHeight="1" spans="1:13">
      <c r="A1054" s="249"/>
      <c r="B1054" s="263"/>
      <c r="C1054" s="254"/>
      <c r="D1054" s="253">
        <v>2027</v>
      </c>
      <c r="E1054" s="77">
        <f t="shared" si="101"/>
        <v>21054.4</v>
      </c>
      <c r="F1054" s="86">
        <v>0</v>
      </c>
      <c r="G1054" s="77">
        <v>2021.3</v>
      </c>
      <c r="H1054" s="87">
        <v>19033.1</v>
      </c>
      <c r="I1054" s="77">
        <v>0</v>
      </c>
      <c r="J1054" s="320">
        <v>0</v>
      </c>
      <c r="K1054" s="321"/>
      <c r="L1054" s="144"/>
      <c r="M1054" s="143"/>
    </row>
    <row r="1055" ht="17.25" customHeight="1" spans="1:13">
      <c r="A1055" s="266"/>
      <c r="B1055" s="267"/>
      <c r="C1055" s="268"/>
      <c r="D1055" s="253">
        <v>2028</v>
      </c>
      <c r="E1055" s="77">
        <f>F1055+G1055+H1055+I1055+J1055</f>
        <v>21266.8</v>
      </c>
      <c r="F1055" s="86">
        <v>0</v>
      </c>
      <c r="G1055" s="77">
        <v>2233.7</v>
      </c>
      <c r="H1055" s="87">
        <v>19033.1</v>
      </c>
      <c r="I1055" s="77">
        <v>0</v>
      </c>
      <c r="J1055" s="320">
        <v>0</v>
      </c>
      <c r="K1055" s="262"/>
      <c r="L1055" s="145"/>
      <c r="M1055" s="143"/>
    </row>
    <row r="1056" s="26" customFormat="1" ht="17.25" customHeight="1" spans="1:13">
      <c r="A1056" s="269"/>
      <c r="B1056" s="270"/>
      <c r="C1056" s="271"/>
      <c r="D1056" s="272" t="s">
        <v>27</v>
      </c>
      <c r="E1056" s="223">
        <f>F1056+G1056+H1056+J1056</f>
        <v>895738.4</v>
      </c>
      <c r="F1056" s="223">
        <f>SUM(F1034:F1055)</f>
        <v>0</v>
      </c>
      <c r="G1056" s="223">
        <f>SUM(G1034:G1055)</f>
        <v>229594.5</v>
      </c>
      <c r="H1056" s="223">
        <f>SUM(H1034:H1055)</f>
        <v>666143.9</v>
      </c>
      <c r="I1056" s="223">
        <f>SUM(I1034:I1055)</f>
        <v>0</v>
      </c>
      <c r="J1056" s="326">
        <f>SUM(J1034:J1055)</f>
        <v>0</v>
      </c>
      <c r="K1056" s="327"/>
      <c r="L1056" s="328"/>
      <c r="M1056" s="314"/>
    </row>
    <row r="1057" ht="17.25" customHeight="1" spans="1:13">
      <c r="A1057" s="273"/>
      <c r="B1057" s="274" t="s">
        <v>27</v>
      </c>
      <c r="C1057" s="275">
        <v>0</v>
      </c>
      <c r="D1057" s="276">
        <v>2018</v>
      </c>
      <c r="E1057" s="277">
        <f>F1057+G1057+H1057+J1057</f>
        <v>1360508.7</v>
      </c>
      <c r="F1057" s="277">
        <f>F11+F22+F37+F48+F63+F78+F89+F111+F122+F131+F151+F162+F173+F195+F206+F217+F228+F239+F250+F261+F272+F283+F310+F321+F332+F343+F354+F365+F376+F387+F398+F409+F420+F431+F442+F453+F464+F475+F486+F497+F508+F519+F530+F541+F552+F563+F574+F585+F596+F607+F618+F629+F640+F651+F662+F673+F684+F695+F706+F717+F728+F739+F750+F761+F772+F783+F794+F805+F816+F1034+F1045</f>
        <v>0</v>
      </c>
      <c r="G1057" s="277">
        <f>G11+G22+G37+G48+G63+G78+G111+G122+G131+G151+G162+G195+G206+G217+G228+G239+G250+G261+G272+G283+G310+G321+G332+G343+G354+G365+G376+G387+G398+G409+G420+G431+G442+G453+G464+G475+G486+G497+G508+G519+G530+G541+G552+G563+G574+G585+G596+G607+G618+G629+G640+G651+G662+G673+G684+G695+G706+G717+G728+G739+G750+G761+G772+G783+G794+G805+G816+G1034+G1045</f>
        <v>925161.6</v>
      </c>
      <c r="H1057" s="277">
        <f>H11+H22+H37+H48+H63+H89+H111+H122+H131+H151+H173+H195+H206+H217+H228+H239+H250+H272+H283+H310+H321+H332+H343+H354+H365+H376+H387+H398+H409+H420+H431+H442+H453+H464+H475+H486+H497+H508+H519+H530+H541+H552+H563+H574+H585+H596+H607+H618+H629+H640+H651+H662+H673+H684+H695+H706+H717+H728+H739+H750+H761+H772+H783+H794+H805+H816+H1034+H1045+H140</f>
        <v>337545.1</v>
      </c>
      <c r="I1057" s="277">
        <f t="shared" ref="I1057:J1060" si="102">I11+I22+I37+I48+I63+I78+I89+I111+I122+I131+I151+I162+I173+I195+I206+I217+I228+I239+I250+I261+I272+I283+I310+I321+I332+I343+I354+I365+I376+I387+I398+I409+I420+I431+I442+I453+I464+I475+I486+I497+I508+I519+I530+I541+I552+I563+I574+I585+I596+I607+I618+I629+I640+I651+I662+I673+I684+I695+I706+I717+I728+I739+I750+I761+I772+I783+I794+I805+I816+I1034+I1045</f>
        <v>7682.5</v>
      </c>
      <c r="J1057" s="329">
        <f t="shared" si="102"/>
        <v>97802</v>
      </c>
      <c r="K1057" s="330"/>
      <c r="L1057" s="331"/>
      <c r="M1057" s="332"/>
    </row>
    <row r="1058" ht="17.25" customHeight="1" spans="1:13">
      <c r="A1058" s="273"/>
      <c r="B1058" s="278"/>
      <c r="C1058" s="279">
        <v>0</v>
      </c>
      <c r="D1058" s="280">
        <v>2019</v>
      </c>
      <c r="E1058" s="222">
        <f t="shared" ref="E1058:E1062" si="103">F1058+G1058+H1058+J1058</f>
        <v>1445064.3</v>
      </c>
      <c r="F1058" s="222">
        <f>F12+F23+F38+F49+F64+F79+F90+F112+F123+F132+F152+F163+F174+F196+F207+F218+F229+F240+F251+F262+F273+F284+F311+F322+F333+F344+F355+F366+F377+F388+F399+F410+F421+F432+F443+F454+F465+F476+F487+F498+F509+F520+F531+F542+F553+F564+F575+F586+F597+F608+F619+F630+F641+F652+F663+F674+F685+F696+F707+F718+F729+F740+F751+F762+F773+F784+F795+F806+F817+F1035+F1046</f>
        <v>0</v>
      </c>
      <c r="G1058" s="277">
        <f>G12+G23+G38+G49+G64+G79+G112+G123+G132+G152+G163+G196+G207+G218+G229+G240+G251+G262+G273+G284+G311+G322+G333+G344+G355+G366+G377+G388+G399+G410+G421+G432+G443+G454+G465+G476+G487+G498+G509+G520+G531+G542+G553+G564+G575+G586+G597+G608+G619+G630+G641+G652+G663+G674+G685+G696+G707+G718+G729+G740+G751+G762+G773+G784+G795+G806+G817+G1035+G1046</f>
        <v>980217.2</v>
      </c>
      <c r="H1058" s="277">
        <f>H12+H23+H38+H49+H64+H90+H112+H123+H132+H152+H174+H196+H207+H218+H229+H240+H251+H273+H284+H311+H322+H333+H344+H355+H366+H377+H388+H399+H410+H421+H432+H443+H454+H465+H476+H487+H498+H509+H520+H531+H542+H553+H564+H575+H586+H597+H608+H619+H630+H641+H652+H663+H674+H685+H696+H707+H718+H729+H740+H751+H762+H773+H784+H795+H806+H817+H1035+H1046+H141</f>
        <v>366465.8</v>
      </c>
      <c r="I1058" s="222">
        <f t="shared" si="102"/>
        <v>7418.3</v>
      </c>
      <c r="J1058" s="333">
        <f t="shared" si="102"/>
        <v>98381.3</v>
      </c>
      <c r="K1058" s="334"/>
      <c r="L1058" s="207"/>
      <c r="M1058" s="332"/>
    </row>
    <row r="1059" ht="17.25" customHeight="1" spans="1:13">
      <c r="A1059" s="273"/>
      <c r="B1059" s="278"/>
      <c r="C1059" s="279">
        <v>0</v>
      </c>
      <c r="D1059" s="280">
        <v>2020</v>
      </c>
      <c r="E1059" s="222">
        <f t="shared" si="103"/>
        <v>1553533.7</v>
      </c>
      <c r="F1059" s="222">
        <f>F13+F24+F39+F50+F65+F80+F91+F113+F124+F133+F153+F164+F175+F197+F208+F219+F230+F241+F252+F263+F274+F285+F312+F323+F334+F345+F356+F367+F378+F389+F400+F411+F422+F433+F444+F455+F466+F477+F488+F499+F510+F521+F532+F543+F554+F565+F576+F587+F598+F609+F620+F631+F642+F653+F664+F675+F686+F697+F708+F719+F730+F741+F752+F763+F774+F785+F796+F807+F818+F1036+F1047</f>
        <v>15103.2</v>
      </c>
      <c r="G1059" s="277">
        <f>G13+G24+G39+G50+G65+G80+G113+G124+G133+G153+G164+G197+G208+G219+G230+G241+G252+G263+G274+G285+G312+G323+G334+G345+G356+G367+G378+G389+G400+G411+G422+G433+G444+G455+G466+G477+G488+G499+G510+G521+G532+G543+G554+G565+G576+G587+G598+G609+G620+G631+G642+G653+G664+G675+G686+G697+G708+G719+G730+G741+G752+G763+G774+G785+G796+G807+G818+G1036+G1047</f>
        <v>1048260.7</v>
      </c>
      <c r="H1059" s="277">
        <f>H13+H24+H39+H50+H65+H91+H113+H124+H133+H153+H175+H197+H208+H219+H230+H241+H252+H274+H285+H312+H323+H334+H345+H356+H367+H378+H389+H400+H411+H422+H433+H444+H455+H466+H477+H488+H499+H510+H521+H532+H543+H554+H565+H576+H587+H598+H609+H620+H631+H642+H653+H664+H675+H686+H697+H708+H719+H730+H741+H752+H763+H774+H785+H796+H807+H818+H1036+H1047+H142</f>
        <v>378600.9</v>
      </c>
      <c r="I1059" s="222">
        <f t="shared" si="102"/>
        <v>4346.3</v>
      </c>
      <c r="J1059" s="333">
        <f t="shared" si="102"/>
        <v>111568.9</v>
      </c>
      <c r="K1059" s="334"/>
      <c r="L1059" s="207"/>
      <c r="M1059" s="332"/>
    </row>
    <row r="1060" ht="17.25" customHeight="1" spans="1:13">
      <c r="A1060" s="273"/>
      <c r="B1060" s="278"/>
      <c r="C1060" s="279">
        <v>0</v>
      </c>
      <c r="D1060" s="280">
        <v>2021</v>
      </c>
      <c r="E1060" s="222">
        <f t="shared" si="103"/>
        <v>1756160.3</v>
      </c>
      <c r="F1060" s="222">
        <f>F14+F25+F40+F51+F66+F81+F92+F114+F125+F134+F154+F165+F176+F198+F209+F220+F231+F242+F253+F264+F275+F286+F313+F324+F335+F346+F357+F368+F379+F390+F401+F412+F423+F434+F445+F456+F467+F478+F489+F500+F511+F522+F533+F544+F555+F566+F577+F588+F599+F610+F621+F632+F643+F654+F665+F676+F687+F698+F709+F720+F731+F742+F753+F764+F775+F786+F797+F808+F819+F1037+F1048</f>
        <v>45309.6</v>
      </c>
      <c r="G1060" s="277">
        <f>G14+G25+G40+G51+G66+G81+G114+G125+G134+G154+G165+G198+G209+G220+G231+G242+G253+G264+G275+G286+G313+G324+G335+G346+G357+G368+G379+G390+G401+G412+G423+G434+G445+G456+G467+G478+G489+G500+G511+G522+G533+G544+G555+G566+G577+G588+G599+G610+G621+G632+G643+G654+G665+G676+G687+G698+G709+G720+G731+G742+G753+G764+G775+G786+G797+G808+G819+G1037+G1048</f>
        <v>1116904.6</v>
      </c>
      <c r="H1060" s="277">
        <f>H14+H25+H40+H51+H66+H92+H114+H125+H134+H154+H176+H198+H209+H220+H231+H242+H253+H275+H286+H313+H324+H335+H346+H357+H368+H379+H390+H401+H412+H423+H434+H445+H456+H467+H478+H489+H500+H511+H522+H533+H544+H555+H566+H577+H588+H599+H610+H621+H632+H643+H654+H665+H676+H687+H698+H709+H720+H731+H742+H753+H764+H775+H786+H797+H808+H819+H1037+H1048+H143</f>
        <v>501978.7</v>
      </c>
      <c r="I1060" s="222">
        <f t="shared" si="102"/>
        <v>7095.5</v>
      </c>
      <c r="J1060" s="333">
        <f t="shared" si="102"/>
        <v>91967.4</v>
      </c>
      <c r="K1060" s="334"/>
      <c r="L1060" s="207"/>
      <c r="M1060" s="332"/>
    </row>
    <row r="1061" ht="17.25" customHeight="1" spans="1:13">
      <c r="A1061" s="273"/>
      <c r="B1061" s="278"/>
      <c r="C1061" s="281">
        <v>0</v>
      </c>
      <c r="D1061" s="282">
        <v>2022</v>
      </c>
      <c r="E1061" s="222">
        <f t="shared" si="103"/>
        <v>1942154.1</v>
      </c>
      <c r="F1061" s="222">
        <f>F15+F26+F41+F52+F67+F82+F93+F115+F126+F135+F155+F166+F177+F199+F210+F221+F232+F243+F254+F265+F276+F287+F314+F325+F336+F347+F358+F369+F380+F391+F402+F413+F424+F435+F446+F457+F468+F479+F490+F501+F512+F523+F534+F545+F556+F567+F578+F589+F600+F611+F622+F633+F644+F655+F666+F677+F688+F699+F710+F721+F732+F743+F754+F765+F776+F787+F798+F809+F820+F1038+F1049</f>
        <v>45544</v>
      </c>
      <c r="G1061" s="277">
        <f>G15+G26+G41+G52+G67+G82+G115+G126+G135+G155+G166+G199+G210+G221+G232+G243+G254+G265+G276+G287+G314+G325+G336+G347+G358+G369+G380+G391+G402+G413+G424+G435+G446+G457+G468+G479+G490+G501+G512+G523+G534+G545+G556+G567+G578+G589+G600+G611+G622+G633+G644+G655+G666+G677+G688+G699+G710+G721+G732+G743+G754+G765+G776+G787+G798+G809+G820+G1038+G1049+G831</f>
        <v>1208536</v>
      </c>
      <c r="H1061" s="277">
        <f>H15+H26+H41+H52+H67+H93+H115+H126+H135+H155+H177+H199+H210+H221+H232+H243+H254+H276+H314+H325+H336+H347+H358+H369+H380+H391+H402+H413+H424+H435+H446+H457+H468+H479+H490+H501+H512+H523+H534+H545+H556+H567+H578+H589+H600+H611+H622+H633+H644+H655+H666+H677+H688+H699+H710+H721+H732+H743+H754+H765+H776+H787+H798+H809+H820+H1038+H1049+H144+H831+H842</f>
        <v>579043.9</v>
      </c>
      <c r="I1061" s="277">
        <f>I15+I26+I41+I52+I67+I82+I115+I126+I135+I155+I166+I199+I210+I221+I232+I243+I254+I265+I276+I287+I314+I325+I336+I347+I358+I369+I380+I391+I402+I413+I424+I435+I446+I457+I468+I479+I490+I501+I512+I523+I534+I545+I556+I567+I578+I589+I600+I611+I622+I633+I644+I655+I666+I677+I688+I699+I710+I721+I732+I743+I754+I765+I776+I787+I798+I809+I820+I1038+I1049+I831+I876</f>
        <v>20762.5</v>
      </c>
      <c r="J1061" s="329">
        <f>J15+J26+J41+J52+J67+J93+J115+J126+J135+J155+J177+J199+J210+J221+J232+J243+J254+J276+J314+J325+J336+J347+J358+J369+J380+J391+J402+J413+J424+J435+J446+J457+J468+J479+J490+J501+J512+J523+J534+J545+J556+J567+J578+J589+J600+J611+J622+J633+J644+J655+J666+J677+J688+J699+J710+J721+J732+J743+J754+J765+J776+J787+J798+J809+J820+J1038+J1049+J144+J831</f>
        <v>109030.2</v>
      </c>
      <c r="K1061" s="334"/>
      <c r="L1061" s="207"/>
      <c r="M1061" s="332"/>
    </row>
    <row r="1062" ht="17.25" customHeight="1" spans="1:13">
      <c r="A1062" s="273"/>
      <c r="B1062" s="278"/>
      <c r="C1062" s="281"/>
      <c r="D1062" s="282">
        <v>2023</v>
      </c>
      <c r="E1062" s="222">
        <f t="shared" si="103"/>
        <v>2159738.4</v>
      </c>
      <c r="F1062" s="222">
        <f>F16+F27+F42+F53+F68+F83+F94+F116+F127+F136+F156+F167+F178+F200+F211+F222+F233+F244+F255+F266+F277+F288+F315+F326+F337+F348+F359+F370+F381+F392+F403+F414+F425+F436+F447+F458+F469+F480+F491+F502+F513+F524+F535+F546+F557+F568+F579+F590+F601+F612+F623+F634+F645+F656+F667+F678+F689+F700+F711+F722+F733+F744+F755+F766+F777+F788+F799+F810+F821+F1039+F1050+F876</f>
        <v>45856.4</v>
      </c>
      <c r="G1062" s="277">
        <f>G16+G27+G42+G53+G68+G83+G116+G127+G136+G156+G167+G200+G211+G222+G233+G244+G255+G266+G277+G288+G315+G326+G337+G348+G359+G370+G381+G392+G403+G414+G425+G436+G447+G458+G469+G480+G491+G502+G513+G524+G535+G546+G557+G568+G579+G590+G601+G612+G623+G634+G645+G656+G667+G678+G689+G700+G711+G722+G733+G744+G755+G766+G777+G788+G799+G810+G821+G1039+G1050+G832+G843+G854+G865+G876</f>
        <v>1340019.1</v>
      </c>
      <c r="H1062" s="277">
        <f>H16+H27+H42+H53+H68+H94+H105+H116+H127+H136+H156+H178+H189+H200+H211+H222+H233+H244+H255+H277+H315+H326+H337+H348+H359+H370+H381+H392+H403+H414+H425+H436+H447+H458+H469+H480+H491+H502+H513+H524+H535+H546+H557+H568+H579+H590+H601+H612+H623+H634+H645+H656+H667+H678+H689+H700+H711+H722+H733+H744+H755+H766+H777+H788+H799+H810+H821+H1039+H1050+H145+H832+H843+H854+H865+H876+H898+H909+H920+H931</f>
        <v>663301.3</v>
      </c>
      <c r="I1062" s="222">
        <f>I16+I27+I42+I53+I68+I83+I94+I116+I127+I136+I156+I167+I178+I200+I211+I222+I233+I244+I255+I266+I277+I288+I315+I326+I337+I348+I359+I370+I381+I392+I403+I414+I425+I436+I447+I458+I469+I480+I491+I502+I513+I524+I535+I546+I557+I568+I579+I590+I601+I612+I623+I634+I645+I656+I667+I678+I689+I700+I711+I722+I733+I744+I755+I766+I777+I788+I799+I810+I821+I1039+I1050+I832+I843+I854+I975+I964+I953+I942+I931+I920+I909+I898+I887+I876+I865</f>
        <v>12037.8</v>
      </c>
      <c r="J1062" s="333">
        <f>J16+J27+J42+J53+J68+J83+J94+J116+J127+J136+J156+J167+J178+J200+J211+J222+J233+J244+J255+J266+J277+J288+J315+J326+J337+J348+J359+J370+J381+J392+J403+J414+J425+J436+J447+J458+J469+J480+J491+J502+J513+J524+J535+J546+J557+J568+J579+J590+J601+J612+J623+J634+J645+J656+J667+J678+J689+J700+J711+J722+J733+J744+J755+J766+J777+J788+J799+J810+J821+J1039+J1050</f>
        <v>110561.6</v>
      </c>
      <c r="K1062" s="334"/>
      <c r="L1062" s="207"/>
      <c r="M1062" s="332"/>
    </row>
    <row r="1063" ht="17.25" customHeight="1" spans="1:13">
      <c r="A1063" s="273"/>
      <c r="B1063" s="278"/>
      <c r="C1063" s="281"/>
      <c r="D1063" s="282">
        <v>2024</v>
      </c>
      <c r="E1063" s="222">
        <f t="shared" ref="E1063:E1068" si="104">F1063+G1063+H1063+J1063</f>
        <v>2800788.3</v>
      </c>
      <c r="F1063" s="222">
        <f>F17+F28+F43+F54+F69+F84+F95+F117+F128+F137+F157+F168+F179+F201+F212+F223+F234+F245+F256+F267+F278+F289+F316+F327+F338+F349+F360+F371+F382+F393+F404+F415+F426+F437+F448+F459+F470+F481+F492+F503+F514+F525+F536+F547+F558+F569+F580+F591+F602+F613+F624+F635+F646+F657+F668+F679+F690+F701+F712+F723+F734+F745+F756+F767+F778+F789+F800+F811+F822+F1040+F1051+F877</f>
        <v>80060</v>
      </c>
      <c r="G1063" s="277">
        <f>G17+G28+G43+G54+G69+G84+G117+G128+G137+G157+G168+G201+G212+G223+G234+G245+G256+G267+G278+G289+G316+G327+G338+G349+G360+G371+G382+G393+G404+G415+G426+G437+G448+G459+G470+G481+G492+G503+G514+G525+G536+G547+G558+G569+G580+G591+G602+G613+G624+G635+G646+G657+G668+G679+G690+G701+G712+G723+G734+G745+G756+G767+G778+G789+G800+G811+G822+G1040+G1051+G833+G844+G855+G866+G877+G1009</f>
        <v>1726206.8</v>
      </c>
      <c r="H1063" s="277">
        <f>H17+H28+H43+H54+H69+H95+H106+H117+H128+H137+H157+H179+H190+H201+H212+H223+H234+H245+H256+H278+H316+H327+H338+H349+H360+H371+H382+H393+H404+H415+H426+H437+H448+H459+H470+H481+H492+H503+H514+H525+H536+H547+H558+H569+H580+H591+H602+H613+H624+H635+H646+H657+H668+H679+H690+H701+H712+H723+H734+H745+H756+H767+H778+H789+H800+H811+H822+H1040+H1051+H146+H833+H844+H855+H866+H877+H910+H888+H976+H965+H954+H943+H932+H921+H987+H899</f>
        <v>843436.8</v>
      </c>
      <c r="I1063" s="222">
        <f>I17+I28+I43+I54+I69+I84+I95+I117+I128+I137+I157+I168+I179+I201+I212+I223+I234+I245+I256+I267+I278+I289+I316+I327+I338+I349+I360+I371+I382+I393+I404+I415+I426+I437+I448+I459+I470+I481+I492+I503+I514+I525+I536+I547+I558+I569+I580+I591+I602+I613+I624+I635+I646+I657+I668+I679+I690+I701+I712+I723+I734+I745+I756+I767+I778+I789+I800+I811+I822+I1040+I1051+I833+I844+I855+I877+I888+I976+I965+I954+I943+I932+I921+I910+I899</f>
        <v>14978.5</v>
      </c>
      <c r="J1063" s="333">
        <f>J17+J28+J43+J54+J69+J84+J95+J117+J128+J137+J157+J168+J179+J201+J212+J223+J234+J245+J256+J267+J278+J289+J316+J327+J338+J349+J360+J371+J382+J393+J404+J415+J426+J437+J448+J459+J470+J481+J492+J503+J514+J525+J536+J547+J558+J569+J580+J591+J602+J613+J624+J635+J646+J657+J668+J679+J690+J701+J712+J723+J734+J745+J756+J767+J778+J789+J800+J811+J822+J1040+J1051</f>
        <v>151084.7</v>
      </c>
      <c r="K1063" s="334"/>
      <c r="L1063" s="207"/>
      <c r="M1063" s="332"/>
    </row>
    <row r="1064" ht="17.25" customHeight="1" spans="1:13">
      <c r="A1064" s="273"/>
      <c r="B1064" s="278"/>
      <c r="C1064" s="281"/>
      <c r="D1064" s="282">
        <v>2025</v>
      </c>
      <c r="E1064" s="283">
        <f t="shared" si="104"/>
        <v>3390772.7</v>
      </c>
      <c r="F1064" s="222">
        <f>F18+F29+F44+F55+F70+F85+F96+F118+F129+F138+F158+F169+F180+F202+F213+F224+F235+F246+F257+F268+F279+F290+F317+F328+F339+F350+F361+F372+F383+F394+F405+F416+F427+F438+F449+F460+F471+F482+F493+F504+F515+F526+F537+F548+F559+F570+F581+F592+F603+F614+F625+F636+F647+F658+F669+F680+F691+F702+F713+F724+F735+F746+F757+F768+F779+F790+F801+F812+F823+F1041+F1052+F878+F1010+F834</f>
        <v>165538.3</v>
      </c>
      <c r="G1064" s="277">
        <f>G18+G29+G44+G55+G70+G85+G118+G129+G138+G158+G169+G202+G213+G224+G235+G246+G257+G268+G279+G290+G317+G328+G339+G350+G361+G372+G383+G394+G405+G416+G427+G438+G449+G460+G471+G482+G493+G504+G515+G526+G537+G548+G559+G570+G581+G592+G603+G614+G625+G636+G647+G658+G669+G680+G691+G702+G713+G724+G735+G746+G757+G768+G779+G790+G801+G812+G823+G1041+G1052+G845+G856+G867+G878+G999+G1010+G834</f>
        <v>2034830.3</v>
      </c>
      <c r="H1064" s="277">
        <f>H18+H29+H44+H55+H70+H96+H107+H118+H129+H138+H158+H180+H191+H202+H213+H224+H235+H246+H257+H279+H317+H328+H339+H350+H361+H372+H383+H394+H405+H416+H427+H438+H449+H460+H471+H482+H493+H504+H515+H526+H537+H548+H559+H570+H581+H592+H603+H614+H625+H636+H647+H658+H669+H680+H691+H702+H713+H724+H735+H746+H757+H768+H779+H790+H801+H812+H823+H1041+H1052+H147+H834+H845+H856+H867+H878+H911+H889+H977+H966+H955+H944+H933+H922+H988+H900+H1019+H999+H1026+H1030</f>
        <v>1095650.9</v>
      </c>
      <c r="I1064" s="222">
        <f>I18+I29+I44+I55+I70+I85+I96+I118+I129+I138+I158+I169+I180+I202+I213+I224+I235+I246+I257+I268+I279+I290+I317+I328+I339+I350+I361+I372+I383+I394+I405+I416+I427+I438+I449+I460+I471+I482+I493+I504+I515+I526+I537+I548+I559+I570+I581+I592+I603+I614+I625+I636+I647+I658+I669+I680+I691+I702+I713+I724+I735+I746+I757+I768+I779+I790+I801+I812+I823+I1041+I1052+I834+I845+I856+I878+I889+I977+I966+I955+I944+I933+I922+I911+I900+I999</f>
        <v>14319.1</v>
      </c>
      <c r="J1064" s="335">
        <f>J18+J29+J44+J55+J70+J85+J96+J118+J129+J138+J158+J169+J180+J202+J213+J224+J235+J246+J257+J268+J279+J290+J317+J328+J339+J350+J361+J372+J383+J394+J405+J416+J427+J438+J449+J460+J471+J482+J493+J504+J515+J526+J537+J548+J559+J570+J581+J592+J603+J614+J625+J636+J647+J658+J669+J680+J691+J702+J713+J724+J735+J746+J757+J768+J779+J790+J801+J812+J823+J1041+J1052</f>
        <v>94753.2</v>
      </c>
      <c r="K1064" s="334"/>
      <c r="L1064" s="207"/>
      <c r="M1064" s="332"/>
    </row>
    <row r="1065" ht="17.25" customHeight="1" spans="1:13">
      <c r="A1065" s="273"/>
      <c r="B1065" s="284"/>
      <c r="C1065" s="285"/>
      <c r="D1065" s="282">
        <v>2026</v>
      </c>
      <c r="E1065" s="283">
        <f t="shared" si="104"/>
        <v>3466390.3</v>
      </c>
      <c r="F1065" s="222">
        <f>F18+F29+F45+F56+F71+F86+F97+F119+F129+F138+F159+F170+F181+F203+F214+F225+F236+F247+F258+F269+F280+F291+F318+F329+F340+F351+F362+F373+F384+F395+F406+F417+F428+F439+F450+F461+F472+F483+F494+F505+F516+F527+F538+F549+F560+F571+F582+F593+F604+F615+F626+F637+F648+F659+F670+F681+F692+F703+F714+F725+F736+F747+F758+F769+F780+F791+F802+F813+F824+F1042+F1053+F879+F1011+F835</f>
        <v>163303.1</v>
      </c>
      <c r="G1065" s="277">
        <f>G18+G29+G45+G56+G71+G86+G119+G129+G138+G159+G170+G203+G214+G225+G236+G247+G258+G269+G280+G291+G318+G329+G340+G351+G362+G373+G384+G395+G406+G417+G428+G439+G450+G461+G472+G483+G494+G505+G516+G527+G538+G549+G560+G571+G582+G593+G604+G615+G626+G637+G648+G659+G670+G681+G692+G703+G714+G725+G736+G747+G758+G769+G780+G791+G802+G813+G824+G1042+G1053+G846+G857+G868+G879+G1011+G835</f>
        <v>2251750</v>
      </c>
      <c r="H1065" s="277">
        <f>H18+H29+H45+H56+H71+H97+H108+H119+H129+H138+H159+H181+H192+H203+H214+H225+H236+H247+H258+H280+H318+H329+H340+H351+H362+H373+H384+H395+H406+H417+H428+H439+H450+H461+H472+H483+H494+H505+H516+H527+H538+H549+H560+H571+H582+H593+H604+H615+H626+H637+H648+H659+H670+H681+H692+H703+H714+H725+H736+H747+H758+H769+H780+H791+H802+H813+H824+H1042+H1053+H148+H846+H857+H868+H879+H978+H967+H956+H945+H934+H923+H912+H901+H890+H1020+H1023+H1027</f>
        <v>930712.2</v>
      </c>
      <c r="I1065" s="283">
        <f>I18+I29+I45+I56+I71+I86+I97+I119+I129+I138+I159+I170+I181+I203+I214+I225+I236+I247+I258+I269+I280+I291+I318+I329+I340+I351+I362+I373+I384+I395+I406+I417+I428+I439+I450+I461+I472+I483+I494+I505+I516+I527+I538+I549+I560+I571+I582+I593+I604+I615+I626+I637+I648+I659+I670+I681+I692+I703+I714+I725+I736+I747+I758+I769+I780+I791+I802+I813+I824+I1042+I1053+I846+I879+I978+I967+I956+I945+I934+I923+I912+I901+I890+I1023</f>
        <v>18743.3</v>
      </c>
      <c r="J1065" s="335">
        <f>J18+J29+J45+J56+J71+J86+J97+J119+J129+J138+J159+J170+J181+J203+J214+J225+J236+J247+J258+J269+J280+J291+J318+J329+J340+J351+J362+J373+J384+J395+J406+J417+J428+J439+J450+J461+J472+J483+J494+J505+J516+J527+J538+J549+J560+J571+J582+J593+J604+J615+J626+J637+J648+J659+J670+J681+J692+J703+J714+J725+J736+J747+J758+J769+J780+J791+J802+J813+J824+J1042+J1053</f>
        <v>120625</v>
      </c>
      <c r="K1065" s="336"/>
      <c r="L1065" s="337"/>
      <c r="M1065" s="332"/>
    </row>
    <row r="1066" ht="17.25" customHeight="1" spans="1:13">
      <c r="A1066" s="273"/>
      <c r="B1066" s="284"/>
      <c r="C1066" s="285"/>
      <c r="D1066" s="286">
        <v>2027</v>
      </c>
      <c r="E1066" s="283">
        <f t="shared" si="104"/>
        <v>3694864.2</v>
      </c>
      <c r="F1066" s="222">
        <f>F20+F31+F46+F57+F72+F87+F98+F120+F130+F139+F160+F171+F182+F204+F215+F226+F237+F248+F259+F270+F281+F292+F319+F330+F341+F352+F363+F374+F385+F396+F407+F418+F429+F440+F451+F462+F473+F484+F495+F506+F517+F528+F539+F550+F561+F572+F583+F594+F605+F616+F627+F638+F649+F660+F671+F682+F693+F704+F715+F726+F737+F748+F759+F770+F781+F792+F803+F814+F825+F1043+F1054+F880+F1012+F836</f>
        <v>167720.7</v>
      </c>
      <c r="G1066" s="277">
        <f>G20+G31+G46+G57+G72+G87+G120+G130+G139+G160+G171+G204+G215+G226+G237+G248+G259+G270+G281+G292+G319+G330+G341+G352+G363+G374+G385+G396+G407+G418+G429+G440+G451+G462+G473+G484+G495+G506+G517+G528+G539+G550+G561+G572+G583+G594+G605+G616+G627+G638+G649+G660+G671+G682+G693+G704+G715+G726+G737+G748+G759+G770+G781+G792+G803+G814+G825+G1043+G1054+G847+G858+G869+G880+G1012+G836</f>
        <v>2509783.4</v>
      </c>
      <c r="H1066" s="277">
        <f>H20+H31+H46+H57+H72+H98+H109+H120+H130+H139+H160+H182+H193+H204+H215+H226+H237+H248+H259+H281+H319+H330+H341+H352+H363+H374+H385+H396+H407+H418+H429+H440+H451+H462+H473+H484+H495+H506+H517+H528+H539+H550+H561+H572+H583+H594+H605+H616+H627+H638+H649+H660+H671+H682+H693+H704+H715+H726+H737+H748+H759+H770+H781+H792+H803+H814+H825+H1043+H1054+H149+H847+H858+H869+H880+H979+H968+H957+H946+H935+H924+H913+H902+H891+H1021+H1028</f>
        <v>896735.1</v>
      </c>
      <c r="I1066" s="283">
        <f>I20+I31+I46+I57+I72+I87+I98+I120+I130+I139+I160+I171+I182+I204+I215+I226+I237+I248+I259+I270+I281+I292+I319+I330+I341+I352+I363+I374+I385+I396+I407+I418+I429+I440+I451+I462+I473+I484+I495+I506+I517+I528+I539+I550+I561+I572+I583+I594+I605+I616+I627+I638+I649+I660+I671+I682+I693+I704+I715+I726+I737+I748+I759+I770+I781+I792+I803+I814+I825+I1043+I1054+I847+I880+I979+I968+I957+I946+I935+I924+I913+I902+I891</f>
        <v>21866.4</v>
      </c>
      <c r="J1066" s="335">
        <f>J20+J31+J46+J57+J72+J87+J98+J120+J130+J139+J160+J171+J182+J204+J215+J226+J237+J248+J259+J270+J281+J292+J319+J330+J341+J352+J363+J374+J385+J396+J407+J418+J429+J440+J451+J462+J473+J484+J495+J506+J517+J528+J539+J550+J561+J572+J583+J594+J605+J616+J627+J638+J649+J660+J671+J682+J693+J704+J715+J726+J737+J748+J759+J770+J781+J792+J803+J814+J825+J1043+J1054</f>
        <v>120625</v>
      </c>
      <c r="K1066" s="336"/>
      <c r="L1066" s="337"/>
      <c r="M1066" s="332"/>
    </row>
    <row r="1067" ht="17.25" customHeight="1" spans="1:13">
      <c r="A1067" s="273"/>
      <c r="B1067" s="284"/>
      <c r="C1067" s="285"/>
      <c r="D1067" s="287">
        <v>2028</v>
      </c>
      <c r="E1067" s="288">
        <f t="shared" si="104"/>
        <v>3886955</v>
      </c>
      <c r="F1067" s="289">
        <f>F1055+F1044+F1022+F1013+F1002+F991+F980+F969+F958+F936+F925+F914+F903+F892+F881+F870+F859+F848+F837+F826+F815+F804+F793+F782+F771+F760+F749+F738+F727+F716+F705+F694+F683+F672+F661+F650+F639+F628+F617+F606+F595+F584+F573+F562+F551+F540+F529+F518+F507+F496+F485+F474+F463+F452+F441+F430+F419+F408+F397+F386+F375+F364+F353+F342+F331+F320+F309+F304+F293+F282+F271+F260+F249+F238+F227+F216+F205+F194+F183+F172+F161+F150+F121+F110+F99+F88+F73+F58+F47</f>
        <v>171437.3</v>
      </c>
      <c r="G1067" s="289">
        <f>G1055+G1044+G1022+G1013+G1002+G991+G980+G969+G958+G947+G936+G925+G914+G903+G892+G881+G870+G859+G848+G837+G826+G815+G804+G793+G782+G771+G760+G749+G738+G727+G716+G705+G694+G683+G672+G661+G650+G639+G628+G617+G606+G595+G573+G562+G551+G540+G529+G518+G507+G496+G485+G474+G463+G452+G441+G430+G419+G408+G397+G386+G375+G364+G353+G342+G331+G320+G304+G309+G293+G172+G73+G88+G58+G47+G32+G21</f>
        <v>2690319.3</v>
      </c>
      <c r="H1067" s="289">
        <f>H1055+H1044+H1022+H1018+H1013+H1002+H991+H980+H969+H958+H947+H936+H925+H914+H903+H892+H881+H870+H859+H848+H837+H826+H815+H804+H793+H782+H771+H760+H749+H738+H727+H716+H705+H694+H683+H672+H661+H650+H639+H628+H617+H606+H595+H584+H573+H562+H551+H540+H529+H518+H507+H496+H485+H474+H463+H452+H441+H430+H419+H408+H397+H386+H375+H364+H271+H172+H88+H73+H58+H47+H32+H21+H1029</f>
        <v>904573.4</v>
      </c>
      <c r="I1067" s="288">
        <f>I1055+I1044+I1022+I1018+I1013+I1002+I991+I980+I969+I958+I947+I936+I925+I914+I903+I892+I881+I870+I859+I848+I837+I826+I815+I804+I793+I782+I771+I760+I749+I738+I727+I716+I705+I694+I683+I672+I661+I650+I639+I628+I617+I606+I595+I584+I573+I562+I551+I540+I529+I518+I507+I496+I485+I474+I463+I452+I441+I430+I419+I408+I397+I386+I375+I364+I353+I342+I331+I320+I309+I304+I293+I282+I271+I260+I249+I238+I227+I216+I205+I194+I183+I172+I161+I150+I121+I110+I99+I88+I73+I58+I47+I32+I21</f>
        <v>16085.9</v>
      </c>
      <c r="J1067" s="338">
        <f>J1055+J1044+J1022+J1018+J1013+J1002+J991+J980+J969+J958+J947+J936+J925+J914+J903+J892+J881+J870+J859+J848+J837+J826+J815+J804+J793+J782+J771+J760+J749+J738+J727+J716+J705+J694+J683+J672+J661+J650+J639+J628+J617+J606+J595+J584+J573+J562+J551+J540+J529+J518+J507+J496+J485+J474+J463+J452+J441+J430+J419+J408+J397+J386+J375+J364+J353+J342+J331+J320+J309+J304+J293+J282+J271+J260+J249+J238+J227+J216+J205+J194+J183+J172+J161+J150+J121+J110+J99+J88+J73+J58+J47+J32+J21</f>
        <v>120625</v>
      </c>
      <c r="K1067" s="336"/>
      <c r="L1067" s="337"/>
      <c r="M1067" s="332"/>
    </row>
    <row r="1068" ht="17.25" customHeight="1" spans="1:13">
      <c r="A1068" s="290"/>
      <c r="B1068" s="278"/>
      <c r="C1068" s="279">
        <v>0</v>
      </c>
      <c r="D1068" s="291"/>
      <c r="E1068" s="292">
        <f t="shared" si="104"/>
        <v>27456930</v>
      </c>
      <c r="F1068" s="292">
        <f>F1057+F1058+F1059+F1060+F1061+F1062+F1063+F1064+F1066+F1065+F1067</f>
        <v>899872.6</v>
      </c>
      <c r="G1068" s="292">
        <f>G1057+G1058+G1059+G1060+G1061+G1062+G1063+G1064+G1066+G1065+G1067</f>
        <v>17831989</v>
      </c>
      <c r="H1068" s="292">
        <f>H1057+H1058+H1059+H1060+H1061+H1062+H1063+H1064+H1066+H1065+H1067</f>
        <v>7498044.1</v>
      </c>
      <c r="I1068" s="292">
        <f>I1057+I1058+I1059+I1060+I1061+I1062+I1063+I1064+I1066+I1065+I1067</f>
        <v>145336.1</v>
      </c>
      <c r="J1068" s="339">
        <f>J1057+J1058+J1059+J1060+J1061+J1062+J1063+J1064+J1066+J1065+J1067</f>
        <v>1227024.3</v>
      </c>
      <c r="K1068" s="334"/>
      <c r="L1068" s="207"/>
      <c r="M1068" s="332"/>
    </row>
    <row r="1069" spans="1:13">
      <c r="A1069" s="293"/>
      <c r="B1069" s="294"/>
      <c r="C1069" s="295"/>
      <c r="E1069" s="296"/>
      <c r="F1069" s="297"/>
      <c r="G1069" s="297"/>
      <c r="H1069" s="297"/>
      <c r="I1069" s="297"/>
      <c r="J1069" s="297"/>
      <c r="K1069" s="340"/>
      <c r="L1069" s="340"/>
      <c r="M1069" s="340"/>
    </row>
    <row r="1070" ht="20.1" customHeight="1" spans="2:13">
      <c r="B1070" s="298" t="s">
        <v>416</v>
      </c>
      <c r="C1070" s="298"/>
      <c r="D1070" s="298"/>
      <c r="E1070" s="298"/>
      <c r="F1070" s="298"/>
      <c r="G1070" s="298"/>
      <c r="H1070" s="298"/>
      <c r="I1070" s="298"/>
      <c r="J1070" s="298"/>
      <c r="K1070" s="298"/>
      <c r="L1070" s="298"/>
      <c r="M1070" s="298"/>
    </row>
    <row r="1071" ht="40.5" customHeight="1" spans="2:13">
      <c r="B1071" s="298"/>
      <c r="C1071" s="298"/>
      <c r="D1071" s="298"/>
      <c r="E1071" s="298"/>
      <c r="F1071" s="298"/>
      <c r="G1071" s="298"/>
      <c r="H1071" s="298"/>
      <c r="I1071" s="298"/>
      <c r="J1071" s="298"/>
      <c r="K1071" s="298"/>
      <c r="L1071" s="298"/>
      <c r="M1071" s="298"/>
    </row>
    <row r="1072" ht="22.5" customHeight="1" spans="2:13">
      <c r="B1072" s="298" t="s">
        <v>417</v>
      </c>
      <c r="C1072" s="298"/>
      <c r="D1072" s="298"/>
      <c r="E1072" s="298"/>
      <c r="F1072" s="298"/>
      <c r="G1072" s="298"/>
      <c r="H1072" s="298"/>
      <c r="I1072" s="298"/>
      <c r="J1072" s="298"/>
      <c r="K1072" s="298"/>
      <c r="L1072" s="298"/>
      <c r="M1072" s="298"/>
    </row>
    <row r="1073" ht="56.25" customHeight="1" spans="2:13">
      <c r="B1073" s="298"/>
      <c r="C1073" s="298"/>
      <c r="D1073" s="298"/>
      <c r="E1073" s="298"/>
      <c r="F1073" s="298"/>
      <c r="G1073" s="298"/>
      <c r="H1073" s="298"/>
      <c r="I1073" s="298"/>
      <c r="J1073" s="298"/>
      <c r="K1073" s="298"/>
      <c r="L1073" s="298"/>
      <c r="M1073" s="298"/>
    </row>
    <row r="1074" ht="38.25" customHeight="1" spans="2:13">
      <c r="B1074" s="298" t="s">
        <v>418</v>
      </c>
      <c r="C1074" s="298"/>
      <c r="D1074" s="298"/>
      <c r="E1074" s="298"/>
      <c r="F1074" s="298"/>
      <c r="G1074" s="298"/>
      <c r="H1074" s="298"/>
      <c r="I1074" s="298"/>
      <c r="J1074" s="298"/>
      <c r="K1074" s="298"/>
      <c r="L1074" s="298"/>
      <c r="M1074" s="298"/>
    </row>
    <row r="1075" ht="21.75" customHeight="1" spans="2:13">
      <c r="B1075" s="298" t="s">
        <v>419</v>
      </c>
      <c r="C1075" s="298"/>
      <c r="D1075" s="298"/>
      <c r="E1075" s="298"/>
      <c r="F1075" s="298"/>
      <c r="G1075" s="298"/>
      <c r="H1075" s="298"/>
      <c r="I1075" s="298"/>
      <c r="J1075" s="298"/>
      <c r="K1075" s="298"/>
      <c r="L1075" s="298"/>
      <c r="M1075" s="298"/>
    </row>
    <row r="1076" ht="36.75" customHeight="1" spans="2:13">
      <c r="B1076" s="298"/>
      <c r="C1076" s="298"/>
      <c r="D1076" s="298"/>
      <c r="E1076" s="298"/>
      <c r="F1076" s="298"/>
      <c r="G1076" s="298"/>
      <c r="H1076" s="298"/>
      <c r="I1076" s="298"/>
      <c r="J1076" s="298"/>
      <c r="K1076" s="298"/>
      <c r="L1076" s="298"/>
      <c r="M1076" s="298"/>
    </row>
    <row r="1077" ht="115.5" customHeight="1" spans="2:13">
      <c r="B1077" s="298" t="s">
        <v>420</v>
      </c>
      <c r="C1077" s="298"/>
      <c r="D1077" s="298"/>
      <c r="E1077" s="298"/>
      <c r="F1077" s="298"/>
      <c r="G1077" s="298"/>
      <c r="H1077" s="298"/>
      <c r="I1077" s="298"/>
      <c r="J1077" s="298"/>
      <c r="K1077" s="298"/>
      <c r="L1077" s="298"/>
      <c r="M1077" s="298"/>
    </row>
    <row r="1078" ht="26.25" customHeight="1" spans="2:13">
      <c r="B1078" s="299"/>
      <c r="C1078" s="300"/>
      <c r="D1078" s="300"/>
      <c r="E1078" s="300"/>
      <c r="F1078" s="300"/>
      <c r="G1078" s="301"/>
      <c r="H1078" s="301"/>
      <c r="I1078" s="301"/>
      <c r="J1078" s="301"/>
      <c r="K1078" s="341"/>
      <c r="L1078" s="341"/>
      <c r="M1078" s="341"/>
    </row>
    <row r="1079" ht="30.75" customHeight="1" spans="2:13">
      <c r="B1079" s="302" t="s">
        <v>421</v>
      </c>
      <c r="C1079" s="302"/>
      <c r="D1079" s="302"/>
      <c r="E1079" s="302"/>
      <c r="F1079" s="302"/>
      <c r="G1079" s="303"/>
      <c r="H1079" s="303"/>
      <c r="I1079" s="306"/>
      <c r="J1079" s="306"/>
      <c r="K1079" s="342" t="s">
        <v>422</v>
      </c>
      <c r="L1079" s="343"/>
      <c r="M1079" s="343"/>
    </row>
    <row r="1080" ht="20.25" spans="2:13">
      <c r="B1080" s="304"/>
      <c r="C1080" s="305">
        <v>0</v>
      </c>
      <c r="D1080" s="304"/>
      <c r="E1080" s="306"/>
      <c r="F1080" s="306"/>
      <c r="G1080" s="306"/>
      <c r="H1080" s="306"/>
      <c r="I1080" s="306"/>
      <c r="J1080" s="306"/>
      <c r="K1080" s="344"/>
      <c r="L1080" s="343"/>
      <c r="M1080" s="343"/>
    </row>
  </sheetData>
  <mergeCells count="436">
    <mergeCell ref="F4:J4"/>
    <mergeCell ref="B8:L8"/>
    <mergeCell ref="B9:L9"/>
    <mergeCell ref="A10:L10"/>
    <mergeCell ref="K33:L33"/>
    <mergeCell ref="B34:L34"/>
    <mergeCell ref="B35:L35"/>
    <mergeCell ref="A36:L36"/>
    <mergeCell ref="K59:L59"/>
    <mergeCell ref="B60:L60"/>
    <mergeCell ref="B61:L61"/>
    <mergeCell ref="A62:L62"/>
    <mergeCell ref="B75:L75"/>
    <mergeCell ref="B76:L76"/>
    <mergeCell ref="A77:L77"/>
    <mergeCell ref="N138:Q138"/>
    <mergeCell ref="B1032:L1032"/>
    <mergeCell ref="A1033:L1033"/>
    <mergeCell ref="B1074:L1074"/>
    <mergeCell ref="B1077:L1077"/>
    <mergeCell ref="B1078:F1078"/>
    <mergeCell ref="B1079:F1079"/>
    <mergeCell ref="A4:A6"/>
    <mergeCell ref="A8:A9"/>
    <mergeCell ref="A11:A21"/>
    <mergeCell ref="A22:A32"/>
    <mergeCell ref="A34:A35"/>
    <mergeCell ref="A37:A47"/>
    <mergeCell ref="A48:A58"/>
    <mergeCell ref="A60:A61"/>
    <mergeCell ref="A63:A73"/>
    <mergeCell ref="A75:A76"/>
    <mergeCell ref="A78:A88"/>
    <mergeCell ref="A89:A99"/>
    <mergeCell ref="A100:A150"/>
    <mergeCell ref="A151:A161"/>
    <mergeCell ref="A162:A194"/>
    <mergeCell ref="A195:A249"/>
    <mergeCell ref="A250:A260"/>
    <mergeCell ref="A261:A353"/>
    <mergeCell ref="A354:A364"/>
    <mergeCell ref="A365:A375"/>
    <mergeCell ref="A376:A386"/>
    <mergeCell ref="A387:A397"/>
    <mergeCell ref="A398:A408"/>
    <mergeCell ref="A409:A419"/>
    <mergeCell ref="A420:A430"/>
    <mergeCell ref="A431:A441"/>
    <mergeCell ref="A442:A452"/>
    <mergeCell ref="A453:A463"/>
    <mergeCell ref="A464:A474"/>
    <mergeCell ref="A475:A485"/>
    <mergeCell ref="A486:A496"/>
    <mergeCell ref="A497:A507"/>
    <mergeCell ref="A508:A518"/>
    <mergeCell ref="A519:A529"/>
    <mergeCell ref="A530:A540"/>
    <mergeCell ref="A541:A551"/>
    <mergeCell ref="A552:A562"/>
    <mergeCell ref="A563:A573"/>
    <mergeCell ref="A574:A584"/>
    <mergeCell ref="A585:A595"/>
    <mergeCell ref="A596:A606"/>
    <mergeCell ref="A607:A617"/>
    <mergeCell ref="A618:A628"/>
    <mergeCell ref="A629:A639"/>
    <mergeCell ref="A640:A650"/>
    <mergeCell ref="A651:A661"/>
    <mergeCell ref="A662:A672"/>
    <mergeCell ref="A673:A683"/>
    <mergeCell ref="A684:A694"/>
    <mergeCell ref="A695:A705"/>
    <mergeCell ref="A706:A716"/>
    <mergeCell ref="A717:A727"/>
    <mergeCell ref="A728:A738"/>
    <mergeCell ref="A739:A749"/>
    <mergeCell ref="A750:A760"/>
    <mergeCell ref="A761:A771"/>
    <mergeCell ref="A772:A782"/>
    <mergeCell ref="A783:A793"/>
    <mergeCell ref="A794:A804"/>
    <mergeCell ref="A805:A815"/>
    <mergeCell ref="A816:A826"/>
    <mergeCell ref="A827:A837"/>
    <mergeCell ref="A838:A848"/>
    <mergeCell ref="A849:A859"/>
    <mergeCell ref="A860:A870"/>
    <mergeCell ref="A871:A881"/>
    <mergeCell ref="A882:A892"/>
    <mergeCell ref="A893:A903"/>
    <mergeCell ref="A904:A914"/>
    <mergeCell ref="A915:A925"/>
    <mergeCell ref="A926:A936"/>
    <mergeCell ref="A937:A947"/>
    <mergeCell ref="A948:A958"/>
    <mergeCell ref="A959:A969"/>
    <mergeCell ref="A970:A980"/>
    <mergeCell ref="A981:A991"/>
    <mergeCell ref="A992:A1002"/>
    <mergeCell ref="A1003:A1013"/>
    <mergeCell ref="A1014:A1018"/>
    <mergeCell ref="A1019:A1022"/>
    <mergeCell ref="A1023:A1025"/>
    <mergeCell ref="A1026:A1029"/>
    <mergeCell ref="A1034:A1044"/>
    <mergeCell ref="A1045:A1055"/>
    <mergeCell ref="A1057:A1068"/>
    <mergeCell ref="B4:B6"/>
    <mergeCell ref="B11:B21"/>
    <mergeCell ref="B22:B32"/>
    <mergeCell ref="B37:B47"/>
    <mergeCell ref="B48:B58"/>
    <mergeCell ref="B63:B70"/>
    <mergeCell ref="B71:B73"/>
    <mergeCell ref="B78:B88"/>
    <mergeCell ref="B89:B99"/>
    <mergeCell ref="B100:B110"/>
    <mergeCell ref="B111:B121"/>
    <mergeCell ref="B122:B130"/>
    <mergeCell ref="B131:B139"/>
    <mergeCell ref="B140:B150"/>
    <mergeCell ref="B151:B161"/>
    <mergeCell ref="B162:B172"/>
    <mergeCell ref="B173:B183"/>
    <mergeCell ref="B184:B194"/>
    <mergeCell ref="B195:B205"/>
    <mergeCell ref="B206:B216"/>
    <mergeCell ref="B217:B227"/>
    <mergeCell ref="B228:B238"/>
    <mergeCell ref="B239:B249"/>
    <mergeCell ref="B250:B260"/>
    <mergeCell ref="B261:B271"/>
    <mergeCell ref="B272:B282"/>
    <mergeCell ref="B283:B293"/>
    <mergeCell ref="B294:B304"/>
    <mergeCell ref="B305:B309"/>
    <mergeCell ref="B310:B320"/>
    <mergeCell ref="B321:B331"/>
    <mergeCell ref="B332:B342"/>
    <mergeCell ref="B343:B353"/>
    <mergeCell ref="B354:B364"/>
    <mergeCell ref="B365:B375"/>
    <mergeCell ref="B376:B386"/>
    <mergeCell ref="B387:B397"/>
    <mergeCell ref="B398:B405"/>
    <mergeCell ref="B406:B408"/>
    <mergeCell ref="B409:B419"/>
    <mergeCell ref="B420:B430"/>
    <mergeCell ref="B431:B441"/>
    <mergeCell ref="B442:B452"/>
    <mergeCell ref="B453:B463"/>
    <mergeCell ref="B464:B474"/>
    <mergeCell ref="B475:B485"/>
    <mergeCell ref="B486:B496"/>
    <mergeCell ref="B497:B507"/>
    <mergeCell ref="B508:B513"/>
    <mergeCell ref="B514:B518"/>
    <mergeCell ref="B519:B529"/>
    <mergeCell ref="B530:B540"/>
    <mergeCell ref="B541:B551"/>
    <mergeCell ref="B552:B562"/>
    <mergeCell ref="B563:B573"/>
    <mergeCell ref="B574:B584"/>
    <mergeCell ref="B585:B592"/>
    <mergeCell ref="B593:B595"/>
    <mergeCell ref="B596:B606"/>
    <mergeCell ref="B607:B617"/>
    <mergeCell ref="B618:B628"/>
    <mergeCell ref="B629:B639"/>
    <mergeCell ref="B640:B645"/>
    <mergeCell ref="B647:B650"/>
    <mergeCell ref="B651:B661"/>
    <mergeCell ref="B662:B672"/>
    <mergeCell ref="B673:B683"/>
    <mergeCell ref="B684:B694"/>
    <mergeCell ref="B695:B705"/>
    <mergeCell ref="B706:B716"/>
    <mergeCell ref="B717:B727"/>
    <mergeCell ref="B728:B734"/>
    <mergeCell ref="B735:B738"/>
    <mergeCell ref="B739:B749"/>
    <mergeCell ref="B750:B760"/>
    <mergeCell ref="B761:B771"/>
    <mergeCell ref="B772:B782"/>
    <mergeCell ref="B783:B788"/>
    <mergeCell ref="B789:B793"/>
    <mergeCell ref="B794:B804"/>
    <mergeCell ref="B805:B815"/>
    <mergeCell ref="B816:B821"/>
    <mergeCell ref="B822:B826"/>
    <mergeCell ref="B827:B833"/>
    <mergeCell ref="B834:B837"/>
    <mergeCell ref="B838:B848"/>
    <mergeCell ref="B849:B854"/>
    <mergeCell ref="B855:B859"/>
    <mergeCell ref="B860:B870"/>
    <mergeCell ref="B871:B881"/>
    <mergeCell ref="B882:B892"/>
    <mergeCell ref="B893:B903"/>
    <mergeCell ref="B904:B914"/>
    <mergeCell ref="B915:B925"/>
    <mergeCell ref="B926:B936"/>
    <mergeCell ref="B937:B947"/>
    <mergeCell ref="B948:B958"/>
    <mergeCell ref="B959:B969"/>
    <mergeCell ref="B970:B980"/>
    <mergeCell ref="B981:B991"/>
    <mergeCell ref="B992:B1002"/>
    <mergeCell ref="B1003:B1013"/>
    <mergeCell ref="B1014:B1018"/>
    <mergeCell ref="B1019:B1022"/>
    <mergeCell ref="B1023:B1025"/>
    <mergeCell ref="B1026:B1029"/>
    <mergeCell ref="B1034:B1044"/>
    <mergeCell ref="B1045:B1055"/>
    <mergeCell ref="B1057:B1068"/>
    <mergeCell ref="C272:C279"/>
    <mergeCell ref="C365:C372"/>
    <mergeCell ref="C376:C383"/>
    <mergeCell ref="C387:C394"/>
    <mergeCell ref="C398:C405"/>
    <mergeCell ref="C409:C416"/>
    <mergeCell ref="C420:C427"/>
    <mergeCell ref="C431:C438"/>
    <mergeCell ref="C442:C449"/>
    <mergeCell ref="C453:C460"/>
    <mergeCell ref="C464:C471"/>
    <mergeCell ref="C475:C482"/>
    <mergeCell ref="C486:C493"/>
    <mergeCell ref="C497:C504"/>
    <mergeCell ref="C508:C515"/>
    <mergeCell ref="C519:C526"/>
    <mergeCell ref="C530:C537"/>
    <mergeCell ref="C541:C548"/>
    <mergeCell ref="C552:C559"/>
    <mergeCell ref="C563:C570"/>
    <mergeCell ref="C574:C581"/>
    <mergeCell ref="C585:C592"/>
    <mergeCell ref="C596:C603"/>
    <mergeCell ref="C607:C614"/>
    <mergeCell ref="C618:C625"/>
    <mergeCell ref="C629:C636"/>
    <mergeCell ref="C640:C647"/>
    <mergeCell ref="C651:C658"/>
    <mergeCell ref="C662:C669"/>
    <mergeCell ref="C673:C680"/>
    <mergeCell ref="C684:C691"/>
    <mergeCell ref="C695:C702"/>
    <mergeCell ref="C706:C713"/>
    <mergeCell ref="C717:C724"/>
    <mergeCell ref="C728:C735"/>
    <mergeCell ref="C739:C746"/>
    <mergeCell ref="C750:C757"/>
    <mergeCell ref="C761:C768"/>
    <mergeCell ref="C772:C779"/>
    <mergeCell ref="C783:C790"/>
    <mergeCell ref="C794:C801"/>
    <mergeCell ref="C805:C812"/>
    <mergeCell ref="C816:C823"/>
    <mergeCell ref="D4:D6"/>
    <mergeCell ref="E4:E6"/>
    <mergeCell ref="F5:F6"/>
    <mergeCell ref="G5:G6"/>
    <mergeCell ref="H5:H6"/>
    <mergeCell ref="I5:I6"/>
    <mergeCell ref="J5:J6"/>
    <mergeCell ref="K4:K6"/>
    <mergeCell ref="K11:K21"/>
    <mergeCell ref="K22:K32"/>
    <mergeCell ref="K37:K47"/>
    <mergeCell ref="K48:K58"/>
    <mergeCell ref="K63:K73"/>
    <mergeCell ref="K78:K88"/>
    <mergeCell ref="K89:K99"/>
    <mergeCell ref="K100:K150"/>
    <mergeCell ref="K151:K161"/>
    <mergeCell ref="K162:K194"/>
    <mergeCell ref="K195:K249"/>
    <mergeCell ref="K250:K260"/>
    <mergeCell ref="K261:K304"/>
    <mergeCell ref="K305:K353"/>
    <mergeCell ref="K354:K364"/>
    <mergeCell ref="K365:K375"/>
    <mergeCell ref="K376:K386"/>
    <mergeCell ref="K387:K397"/>
    <mergeCell ref="K398:K408"/>
    <mergeCell ref="K409:K419"/>
    <mergeCell ref="K420:K430"/>
    <mergeCell ref="K431:K441"/>
    <mergeCell ref="K442:K452"/>
    <mergeCell ref="K453:K463"/>
    <mergeCell ref="K464:K474"/>
    <mergeCell ref="K475:K485"/>
    <mergeCell ref="K486:K496"/>
    <mergeCell ref="K497:K507"/>
    <mergeCell ref="K508:K518"/>
    <mergeCell ref="K519:K529"/>
    <mergeCell ref="K530:K540"/>
    <mergeCell ref="K541:K551"/>
    <mergeCell ref="K552:K562"/>
    <mergeCell ref="K563:K573"/>
    <mergeCell ref="K574:K584"/>
    <mergeCell ref="K585:K595"/>
    <mergeCell ref="K596:K606"/>
    <mergeCell ref="K607:K617"/>
    <mergeCell ref="K618:K628"/>
    <mergeCell ref="K629:K639"/>
    <mergeCell ref="K640:K650"/>
    <mergeCell ref="K651:K661"/>
    <mergeCell ref="K662:K672"/>
    <mergeCell ref="K673:K683"/>
    <mergeCell ref="K684:K694"/>
    <mergeCell ref="K695:K705"/>
    <mergeCell ref="K706:K716"/>
    <mergeCell ref="K717:K727"/>
    <mergeCell ref="K728:K738"/>
    <mergeCell ref="K739:K749"/>
    <mergeCell ref="K750:K760"/>
    <mergeCell ref="K761:K771"/>
    <mergeCell ref="K772:K782"/>
    <mergeCell ref="K783:K793"/>
    <mergeCell ref="K794:K804"/>
    <mergeCell ref="K805:K815"/>
    <mergeCell ref="K816:K826"/>
    <mergeCell ref="K827:K837"/>
    <mergeCell ref="K838:K848"/>
    <mergeCell ref="K849:K854"/>
    <mergeCell ref="K855:K859"/>
    <mergeCell ref="K860:K870"/>
    <mergeCell ref="K871:K881"/>
    <mergeCell ref="K882:K892"/>
    <mergeCell ref="K893:K903"/>
    <mergeCell ref="K904:K914"/>
    <mergeCell ref="K915:K925"/>
    <mergeCell ref="K926:K936"/>
    <mergeCell ref="K937:K947"/>
    <mergeCell ref="K948:K958"/>
    <mergeCell ref="K959:K969"/>
    <mergeCell ref="K970:K980"/>
    <mergeCell ref="K981:K991"/>
    <mergeCell ref="K992:K1002"/>
    <mergeCell ref="K1003:K1013"/>
    <mergeCell ref="K1014:K1018"/>
    <mergeCell ref="K1019:K1022"/>
    <mergeCell ref="K1023:K1025"/>
    <mergeCell ref="K1026:K1029"/>
    <mergeCell ref="K1034:K1044"/>
    <mergeCell ref="K1045:K1055"/>
    <mergeCell ref="K1057:K1068"/>
    <mergeCell ref="L4:L6"/>
    <mergeCell ref="L11:L21"/>
    <mergeCell ref="L22:L32"/>
    <mergeCell ref="L37:L47"/>
    <mergeCell ref="L48:L58"/>
    <mergeCell ref="L63:L73"/>
    <mergeCell ref="L78:L99"/>
    <mergeCell ref="L100:L150"/>
    <mergeCell ref="L151:L161"/>
    <mergeCell ref="L162:L194"/>
    <mergeCell ref="L195:L249"/>
    <mergeCell ref="L250:L260"/>
    <mergeCell ref="L261:L304"/>
    <mergeCell ref="L305:L342"/>
    <mergeCell ref="L343:L353"/>
    <mergeCell ref="L354:L364"/>
    <mergeCell ref="L365:L375"/>
    <mergeCell ref="L376:L386"/>
    <mergeCell ref="L387:L397"/>
    <mergeCell ref="L398:L408"/>
    <mergeCell ref="L409:L419"/>
    <mergeCell ref="L420:L430"/>
    <mergeCell ref="L431:L441"/>
    <mergeCell ref="L442:L452"/>
    <mergeCell ref="L453:L463"/>
    <mergeCell ref="L464:L474"/>
    <mergeCell ref="L475:L485"/>
    <mergeCell ref="L486:L496"/>
    <mergeCell ref="L497:L507"/>
    <mergeCell ref="L508:L518"/>
    <mergeCell ref="L519:L529"/>
    <mergeCell ref="L530:L540"/>
    <mergeCell ref="L541:L551"/>
    <mergeCell ref="L552:L562"/>
    <mergeCell ref="L563:L573"/>
    <mergeCell ref="L574:L584"/>
    <mergeCell ref="L585:L595"/>
    <mergeCell ref="L596:L606"/>
    <mergeCell ref="L607:L617"/>
    <mergeCell ref="L618:L628"/>
    <mergeCell ref="L629:L639"/>
    <mergeCell ref="L640:L650"/>
    <mergeCell ref="L651:L661"/>
    <mergeCell ref="L662:L672"/>
    <mergeCell ref="L673:L683"/>
    <mergeCell ref="L684:L694"/>
    <mergeCell ref="L695:L705"/>
    <mergeCell ref="L706:L716"/>
    <mergeCell ref="L717:L727"/>
    <mergeCell ref="L728:L738"/>
    <mergeCell ref="L739:L749"/>
    <mergeCell ref="L750:L760"/>
    <mergeCell ref="L761:L771"/>
    <mergeCell ref="L772:L782"/>
    <mergeCell ref="L783:L793"/>
    <mergeCell ref="L794:L804"/>
    <mergeCell ref="L805:L815"/>
    <mergeCell ref="L816:L826"/>
    <mergeCell ref="L827:L837"/>
    <mergeCell ref="L838:L848"/>
    <mergeCell ref="L849:L854"/>
    <mergeCell ref="L855:L859"/>
    <mergeCell ref="L860:L870"/>
    <mergeCell ref="L871:L881"/>
    <mergeCell ref="L882:L892"/>
    <mergeCell ref="L893:L903"/>
    <mergeCell ref="L904:L914"/>
    <mergeCell ref="L915:L925"/>
    <mergeCell ref="L926:L936"/>
    <mergeCell ref="L937:L947"/>
    <mergeCell ref="L948:L958"/>
    <mergeCell ref="L959:L969"/>
    <mergeCell ref="L970:L980"/>
    <mergeCell ref="L981:L991"/>
    <mergeCell ref="L992:L1002"/>
    <mergeCell ref="L1003:L1013"/>
    <mergeCell ref="L1014:L1018"/>
    <mergeCell ref="L1019:L1022"/>
    <mergeCell ref="L1023:L1025"/>
    <mergeCell ref="L1026:L1029"/>
    <mergeCell ref="L1034:L1044"/>
    <mergeCell ref="L1045:L1055"/>
    <mergeCell ref="L1057:L1068"/>
    <mergeCell ref="D1:J3"/>
    <mergeCell ref="B1070:L1071"/>
    <mergeCell ref="B1072:L1073"/>
    <mergeCell ref="B1075:L1076"/>
  </mergeCells>
  <pageMargins left="0.78740157480315" right="0.72" top="0.78740157480315" bottom="0.551181102362205" header="0" footer="0"/>
  <pageSetup paperSize="9" scale="51" fitToHeight="0" orientation="landscape"/>
  <headerFooter/>
  <rowBreaks count="25" manualBreakCount="25">
    <brk id="35" max="11" man="1"/>
    <brk id="74" max="11" man="1"/>
    <brk id="121" max="11" man="1"/>
    <brk id="172" max="11" man="1"/>
    <brk id="227" max="11" man="1"/>
    <brk id="282" max="11" man="1"/>
    <brk id="331" max="11" man="1"/>
    <brk id="375" max="11" man="1"/>
    <brk id="408" max="11" man="1"/>
    <brk id="452" max="11" man="1"/>
    <brk id="496" max="11" man="1"/>
    <brk id="540" max="11" man="1"/>
    <brk id="595" max="11" man="1"/>
    <brk id="639" max="11" man="1"/>
    <brk id="661" max="11" man="1"/>
    <brk id="705" max="11" man="1"/>
    <brk id="749" max="11" man="1"/>
    <brk id="793" max="11" man="1"/>
    <brk id="833" max="11" man="1"/>
    <brk id="859" max="11" man="1"/>
    <brk id="903" max="11" man="1"/>
    <brk id="947" max="11" man="1"/>
    <brk id="991" max="11" man="1"/>
    <brk id="1022" max="11" man="1"/>
    <brk id="1044" max="11"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8"/>
  <sheetViews>
    <sheetView topLeftCell="A13" workbookViewId="0">
      <selection activeCell="C46" sqref="C46"/>
    </sheetView>
  </sheetViews>
  <sheetFormatPr defaultColWidth="9" defaultRowHeight="18.75"/>
  <cols>
    <col min="1" max="1" width="6.28571428571429" style="3" customWidth="1"/>
    <col min="2" max="2" width="92.7142857142857" style="4" customWidth="1"/>
    <col min="3" max="3" width="18.7142857142857" style="4" customWidth="1"/>
    <col min="4" max="7" width="8.42857142857143" style="4" customWidth="1"/>
    <col min="8" max="8" width="9.28571428571429" style="4" customWidth="1"/>
    <col min="9" max="9" width="8.42857142857143" style="4" customWidth="1"/>
    <col min="10" max="10" width="7.71428571428571" style="4" customWidth="1"/>
    <col min="11" max="11" width="8.42857142857143" style="4" customWidth="1"/>
    <col min="12" max="16384" width="9.14285714285714" style="4"/>
  </cols>
  <sheetData>
    <row r="1" ht="45" customHeight="1" spans="6:11">
      <c r="F1" s="5" t="s">
        <v>423</v>
      </c>
      <c r="G1" s="5"/>
      <c r="H1" s="5"/>
      <c r="I1" s="5"/>
      <c r="J1" s="5"/>
      <c r="K1" s="5"/>
    </row>
    <row r="2" customHeight="1" spans="2:11">
      <c r="B2" s="6"/>
      <c r="C2" s="6"/>
      <c r="D2" s="6"/>
      <c r="E2" s="7"/>
      <c r="F2" s="7"/>
      <c r="G2" s="7"/>
      <c r="H2" s="7"/>
      <c r="I2" s="7"/>
      <c r="J2" s="7"/>
      <c r="K2" s="7"/>
    </row>
    <row r="3" customHeight="1" spans="2:11">
      <c r="B3" s="8" t="s">
        <v>424</v>
      </c>
      <c r="C3" s="8"/>
      <c r="D3" s="8"/>
      <c r="E3" s="8"/>
      <c r="F3" s="8"/>
      <c r="G3" s="8"/>
      <c r="H3" s="8"/>
      <c r="I3" s="8"/>
      <c r="J3" s="8"/>
      <c r="K3" s="8"/>
    </row>
    <row r="4" customHeight="1" spans="2:11">
      <c r="B4" s="8"/>
      <c r="C4" s="8"/>
      <c r="D4" s="8"/>
      <c r="E4" s="8"/>
      <c r="F4" s="8"/>
      <c r="G4" s="8"/>
      <c r="H4" s="8"/>
      <c r="I4" s="8"/>
      <c r="J4" s="8"/>
      <c r="K4" s="8"/>
    </row>
    <row r="5" ht="21.75" customHeight="1" spans="2:11">
      <c r="B5" s="9"/>
      <c r="C5" s="9"/>
      <c r="D5" s="9"/>
      <c r="E5" s="10"/>
      <c r="F5" s="10"/>
      <c r="G5" s="10"/>
      <c r="H5" s="10"/>
      <c r="I5" s="10"/>
      <c r="J5" s="10"/>
      <c r="K5" s="10"/>
    </row>
    <row r="6" s="1" customFormat="1" spans="1:11">
      <c r="A6" s="11" t="s">
        <v>4</v>
      </c>
      <c r="B6" s="12" t="s">
        <v>425</v>
      </c>
      <c r="C6" s="13" t="s">
        <v>426</v>
      </c>
      <c r="D6" s="13" t="s">
        <v>427</v>
      </c>
      <c r="E6" s="13"/>
      <c r="F6" s="13"/>
      <c r="G6" s="13"/>
      <c r="H6" s="13"/>
      <c r="I6" s="13"/>
      <c r="J6" s="13"/>
      <c r="K6" s="22"/>
    </row>
    <row r="7" spans="1:11">
      <c r="A7" s="14"/>
      <c r="B7" s="15"/>
      <c r="C7" s="13"/>
      <c r="D7" s="13">
        <v>2018</v>
      </c>
      <c r="E7" s="13">
        <v>2019</v>
      </c>
      <c r="F7" s="13">
        <v>2020</v>
      </c>
      <c r="G7" s="13">
        <v>2021</v>
      </c>
      <c r="H7" s="13">
        <v>2022</v>
      </c>
      <c r="I7" s="13">
        <v>2023</v>
      </c>
      <c r="J7" s="13">
        <v>2024</v>
      </c>
      <c r="K7" s="13">
        <v>2025</v>
      </c>
    </row>
    <row r="8" spans="1:11">
      <c r="A8" s="16"/>
      <c r="B8" s="17"/>
      <c r="C8" s="13"/>
      <c r="D8" s="13" t="s">
        <v>428</v>
      </c>
      <c r="E8" s="13" t="s">
        <v>428</v>
      </c>
      <c r="F8" s="13" t="s">
        <v>428</v>
      </c>
      <c r="G8" s="13" t="s">
        <v>428</v>
      </c>
      <c r="H8" s="13" t="s">
        <v>428</v>
      </c>
      <c r="I8" s="13" t="s">
        <v>428</v>
      </c>
      <c r="J8" s="13" t="s">
        <v>428</v>
      </c>
      <c r="K8" s="13" t="s">
        <v>428</v>
      </c>
    </row>
    <row r="9" spans="1:11">
      <c r="A9" s="13">
        <v>1</v>
      </c>
      <c r="B9" s="13">
        <v>2</v>
      </c>
      <c r="C9" s="13">
        <v>3</v>
      </c>
      <c r="D9" s="13">
        <v>4</v>
      </c>
      <c r="E9" s="13">
        <v>5</v>
      </c>
      <c r="F9" s="13">
        <v>6</v>
      </c>
      <c r="G9" s="13">
        <v>7</v>
      </c>
      <c r="H9" s="13">
        <v>8</v>
      </c>
      <c r="I9" s="13">
        <v>9</v>
      </c>
      <c r="J9" s="13">
        <v>10</v>
      </c>
      <c r="K9" s="13">
        <v>11</v>
      </c>
    </row>
    <row r="10" ht="37.5" spans="1:11">
      <c r="A10" s="13" t="s">
        <v>16</v>
      </c>
      <c r="B10" s="18" t="s">
        <v>429</v>
      </c>
      <c r="C10" s="13" t="s">
        <v>430</v>
      </c>
      <c r="D10" s="13">
        <v>76</v>
      </c>
      <c r="E10" s="13">
        <v>70.9</v>
      </c>
      <c r="F10" s="13">
        <v>72</v>
      </c>
      <c r="G10" s="13">
        <v>75</v>
      </c>
      <c r="H10" s="13">
        <v>77</v>
      </c>
      <c r="I10" s="13">
        <v>77</v>
      </c>
      <c r="J10" s="13">
        <v>77</v>
      </c>
      <c r="K10" s="13">
        <v>77</v>
      </c>
    </row>
    <row r="11" spans="1:11">
      <c r="A11" s="13" t="s">
        <v>28</v>
      </c>
      <c r="B11" s="18" t="s">
        <v>431</v>
      </c>
      <c r="C11" s="13" t="s">
        <v>432</v>
      </c>
      <c r="D11" s="13">
        <v>0.05</v>
      </c>
      <c r="E11" s="13">
        <v>0.04</v>
      </c>
      <c r="F11" s="13">
        <v>0</v>
      </c>
      <c r="G11" s="13">
        <v>0</v>
      </c>
      <c r="H11" s="13">
        <v>0</v>
      </c>
      <c r="I11" s="13">
        <v>0.5</v>
      </c>
      <c r="J11" s="13">
        <v>0</v>
      </c>
      <c r="K11" s="13">
        <v>0</v>
      </c>
    </row>
    <row r="12" ht="75" spans="1:11">
      <c r="A12" s="13" t="s">
        <v>60</v>
      </c>
      <c r="B12" s="18" t="s">
        <v>433</v>
      </c>
      <c r="C12" s="13" t="s">
        <v>430</v>
      </c>
      <c r="D12" s="13">
        <v>100</v>
      </c>
      <c r="E12" s="13">
        <v>100</v>
      </c>
      <c r="F12" s="13">
        <v>100</v>
      </c>
      <c r="G12" s="13">
        <v>100</v>
      </c>
      <c r="H12" s="13">
        <v>100</v>
      </c>
      <c r="I12" s="13">
        <v>100</v>
      </c>
      <c r="J12" s="13">
        <v>100</v>
      </c>
      <c r="K12" s="13">
        <v>100</v>
      </c>
    </row>
    <row r="13" ht="63.75" customHeight="1" spans="1:11">
      <c r="A13" s="13" t="s">
        <v>86</v>
      </c>
      <c r="B13" s="18" t="s">
        <v>434</v>
      </c>
      <c r="C13" s="13" t="s">
        <v>430</v>
      </c>
      <c r="D13" s="13">
        <v>100</v>
      </c>
      <c r="E13" s="13">
        <v>100</v>
      </c>
      <c r="F13" s="13">
        <v>100</v>
      </c>
      <c r="G13" s="13">
        <v>100</v>
      </c>
      <c r="H13" s="13">
        <v>100</v>
      </c>
      <c r="I13" s="13">
        <v>100</v>
      </c>
      <c r="J13" s="13">
        <v>100</v>
      </c>
      <c r="K13" s="13">
        <v>100</v>
      </c>
    </row>
    <row r="14" spans="1:11">
      <c r="A14" s="13" t="s">
        <v>435</v>
      </c>
      <c r="B14" s="18" t="s">
        <v>436</v>
      </c>
      <c r="C14" s="13" t="s">
        <v>437</v>
      </c>
      <c r="D14" s="13">
        <v>13.494</v>
      </c>
      <c r="E14" s="13">
        <v>13.927</v>
      </c>
      <c r="F14" s="13">
        <v>14.237</v>
      </c>
      <c r="G14" s="13">
        <v>14.621</v>
      </c>
      <c r="H14" s="13">
        <v>15.079</v>
      </c>
      <c r="I14" s="13">
        <v>15.291</v>
      </c>
      <c r="J14" s="13">
        <v>15.291</v>
      </c>
      <c r="K14" s="13">
        <v>15.291</v>
      </c>
    </row>
    <row r="15" spans="1:11">
      <c r="A15" s="13"/>
      <c r="B15" s="18"/>
      <c r="C15" s="13"/>
      <c r="D15" s="13"/>
      <c r="E15" s="13"/>
      <c r="F15" s="13"/>
      <c r="G15" s="13"/>
      <c r="H15" s="13"/>
      <c r="I15" s="13"/>
      <c r="J15" s="13"/>
      <c r="K15" s="13"/>
    </row>
    <row r="16" spans="1:11">
      <c r="A16" s="13" t="s">
        <v>438</v>
      </c>
      <c r="B16" s="18" t="s">
        <v>439</v>
      </c>
      <c r="C16" s="13" t="s">
        <v>440</v>
      </c>
      <c r="D16" s="13">
        <v>16</v>
      </c>
      <c r="E16" s="13">
        <v>16</v>
      </c>
      <c r="F16" s="13">
        <v>19</v>
      </c>
      <c r="G16" s="13">
        <v>19</v>
      </c>
      <c r="H16" s="13">
        <v>19</v>
      </c>
      <c r="I16" s="13">
        <v>19</v>
      </c>
      <c r="J16" s="13">
        <v>19</v>
      </c>
      <c r="K16" s="13">
        <v>19</v>
      </c>
    </row>
    <row r="17" spans="1:11">
      <c r="A17" s="13"/>
      <c r="B17" s="18"/>
      <c r="C17" s="13"/>
      <c r="D17" s="13"/>
      <c r="E17" s="13"/>
      <c r="F17" s="13"/>
      <c r="G17" s="13"/>
      <c r="H17" s="13"/>
      <c r="I17" s="13"/>
      <c r="J17" s="13"/>
      <c r="K17" s="13"/>
    </row>
    <row r="18" ht="56.25" spans="1:11">
      <c r="A18" s="13" t="s">
        <v>441</v>
      </c>
      <c r="B18" s="18" t="s">
        <v>442</v>
      </c>
      <c r="C18" s="13" t="s">
        <v>430</v>
      </c>
      <c r="D18" s="13">
        <v>89.6</v>
      </c>
      <c r="E18" s="13">
        <v>90</v>
      </c>
      <c r="F18" s="13">
        <v>100</v>
      </c>
      <c r="G18" s="13">
        <v>100</v>
      </c>
      <c r="H18" s="13">
        <v>100</v>
      </c>
      <c r="I18" s="13">
        <v>100</v>
      </c>
      <c r="J18" s="13">
        <v>100</v>
      </c>
      <c r="K18" s="13">
        <v>100</v>
      </c>
    </row>
    <row r="19" ht="56.25" spans="1:11">
      <c r="A19" s="13" t="s">
        <v>443</v>
      </c>
      <c r="B19" s="18" t="s">
        <v>444</v>
      </c>
      <c r="C19" s="13" t="s">
        <v>430</v>
      </c>
      <c r="D19" s="13">
        <v>1.5</v>
      </c>
      <c r="E19" s="13">
        <v>0.5</v>
      </c>
      <c r="F19" s="13">
        <v>0</v>
      </c>
      <c r="G19" s="13">
        <v>0</v>
      </c>
      <c r="H19" s="13">
        <v>0</v>
      </c>
      <c r="I19" s="13">
        <v>0</v>
      </c>
      <c r="J19" s="13">
        <v>0</v>
      </c>
      <c r="K19" s="13">
        <v>0</v>
      </c>
    </row>
    <row r="20" ht="56.25" spans="1:11">
      <c r="A20" s="13" t="s">
        <v>445</v>
      </c>
      <c r="B20" s="18" t="s">
        <v>446</v>
      </c>
      <c r="C20" s="13" t="s">
        <v>430</v>
      </c>
      <c r="D20" s="13">
        <v>100</v>
      </c>
      <c r="E20" s="13">
        <v>100</v>
      </c>
      <c r="F20" s="13">
        <v>100</v>
      </c>
      <c r="G20" s="13">
        <v>100</v>
      </c>
      <c r="H20" s="13">
        <v>100</v>
      </c>
      <c r="I20" s="13">
        <v>100</v>
      </c>
      <c r="J20" s="13">
        <v>100</v>
      </c>
      <c r="K20" s="13">
        <v>100</v>
      </c>
    </row>
    <row r="21" ht="37.5" spans="1:11">
      <c r="A21" s="13" t="s">
        <v>447</v>
      </c>
      <c r="B21" s="18" t="s">
        <v>448</v>
      </c>
      <c r="C21" s="13" t="s">
        <v>449</v>
      </c>
      <c r="D21" s="13">
        <v>20</v>
      </c>
      <c r="E21" s="13">
        <v>20</v>
      </c>
      <c r="F21" s="13">
        <v>20</v>
      </c>
      <c r="G21" s="13">
        <v>20</v>
      </c>
      <c r="H21" s="13">
        <v>20</v>
      </c>
      <c r="I21" s="13">
        <v>20</v>
      </c>
      <c r="J21" s="13">
        <v>20</v>
      </c>
      <c r="K21" s="13">
        <v>20</v>
      </c>
    </row>
    <row r="22" ht="37.5" spans="1:11">
      <c r="A22" s="13" t="s">
        <v>450</v>
      </c>
      <c r="B22" s="18" t="s">
        <v>451</v>
      </c>
      <c r="C22" s="13" t="s">
        <v>430</v>
      </c>
      <c r="D22" s="13">
        <v>35</v>
      </c>
      <c r="E22" s="13">
        <v>57</v>
      </c>
      <c r="F22" s="13">
        <v>60</v>
      </c>
      <c r="G22" s="13">
        <v>60</v>
      </c>
      <c r="H22" s="13">
        <v>80</v>
      </c>
      <c r="I22" s="13">
        <v>100</v>
      </c>
      <c r="J22" s="13">
        <v>100</v>
      </c>
      <c r="K22" s="13">
        <v>100</v>
      </c>
    </row>
    <row r="23" ht="56.25" spans="1:11">
      <c r="A23" s="13" t="s">
        <v>452</v>
      </c>
      <c r="B23" s="18" t="s">
        <v>453</v>
      </c>
      <c r="C23" s="13" t="s">
        <v>430</v>
      </c>
      <c r="D23" s="13">
        <v>99</v>
      </c>
      <c r="E23" s="13">
        <v>99</v>
      </c>
      <c r="F23" s="13">
        <v>99</v>
      </c>
      <c r="G23" s="13">
        <v>99</v>
      </c>
      <c r="H23" s="13">
        <v>99</v>
      </c>
      <c r="I23" s="13">
        <v>99</v>
      </c>
      <c r="J23" s="13">
        <v>99</v>
      </c>
      <c r="K23" s="13">
        <v>99</v>
      </c>
    </row>
    <row r="24" ht="37.5" spans="1:11">
      <c r="A24" s="13" t="s">
        <v>454</v>
      </c>
      <c r="B24" s="18" t="s">
        <v>455</v>
      </c>
      <c r="C24" s="13" t="s">
        <v>430</v>
      </c>
      <c r="D24" s="13">
        <v>50</v>
      </c>
      <c r="E24" s="13">
        <v>55</v>
      </c>
      <c r="F24" s="13">
        <v>60</v>
      </c>
      <c r="G24" s="13">
        <v>70</v>
      </c>
      <c r="H24" s="13">
        <v>70</v>
      </c>
      <c r="I24" s="13">
        <v>70</v>
      </c>
      <c r="J24" s="13">
        <v>70</v>
      </c>
      <c r="K24" s="13">
        <v>70</v>
      </c>
    </row>
    <row r="25" ht="75" spans="1:11">
      <c r="A25" s="13">
        <v>14</v>
      </c>
      <c r="B25" s="19" t="s">
        <v>456</v>
      </c>
      <c r="C25" s="13" t="s">
        <v>430</v>
      </c>
      <c r="D25" s="13">
        <v>0</v>
      </c>
      <c r="E25" s="13">
        <v>0</v>
      </c>
      <c r="F25" s="13">
        <v>22</v>
      </c>
      <c r="G25" s="13">
        <v>22</v>
      </c>
      <c r="H25" s="13">
        <v>22</v>
      </c>
      <c r="I25" s="13">
        <v>22</v>
      </c>
      <c r="J25" s="13">
        <v>22</v>
      </c>
      <c r="K25" s="13">
        <v>22</v>
      </c>
    </row>
    <row r="26" spans="1:11">
      <c r="A26" s="13" t="s">
        <v>457</v>
      </c>
      <c r="B26" s="19" t="s">
        <v>458</v>
      </c>
      <c r="C26" s="13" t="s">
        <v>459</v>
      </c>
      <c r="D26" s="13">
        <v>10</v>
      </c>
      <c r="E26" s="13">
        <v>12</v>
      </c>
      <c r="F26" s="13">
        <v>11</v>
      </c>
      <c r="G26" s="13">
        <v>12</v>
      </c>
      <c r="H26" s="13">
        <v>12</v>
      </c>
      <c r="I26" s="13">
        <v>12</v>
      </c>
      <c r="J26" s="13">
        <v>12</v>
      </c>
      <c r="K26" s="13">
        <v>12</v>
      </c>
    </row>
    <row r="27" spans="1:11">
      <c r="A27" s="13" t="s">
        <v>460</v>
      </c>
      <c r="B27" s="18" t="s">
        <v>461</v>
      </c>
      <c r="C27" s="13" t="s">
        <v>430</v>
      </c>
      <c r="D27" s="13">
        <v>100</v>
      </c>
      <c r="E27" s="13">
        <v>100</v>
      </c>
      <c r="F27" s="13">
        <v>100</v>
      </c>
      <c r="G27" s="13">
        <v>100</v>
      </c>
      <c r="H27" s="13">
        <v>100</v>
      </c>
      <c r="I27" s="13">
        <v>100</v>
      </c>
      <c r="J27" s="13">
        <v>100</v>
      </c>
      <c r="K27" s="13">
        <v>100</v>
      </c>
    </row>
    <row r="28" ht="37.5" spans="1:11">
      <c r="A28" s="13" t="s">
        <v>462</v>
      </c>
      <c r="B28" s="18" t="s">
        <v>463</v>
      </c>
      <c r="C28" s="13" t="s">
        <v>430</v>
      </c>
      <c r="D28" s="13">
        <v>20</v>
      </c>
      <c r="E28" s="13">
        <v>0</v>
      </c>
      <c r="F28" s="13">
        <v>0</v>
      </c>
      <c r="G28" s="13">
        <v>0</v>
      </c>
      <c r="H28" s="13">
        <v>0</v>
      </c>
      <c r="I28" s="13">
        <v>0</v>
      </c>
      <c r="J28" s="13">
        <v>0</v>
      </c>
      <c r="K28" s="13">
        <v>0</v>
      </c>
    </row>
    <row r="29" spans="1:11">
      <c r="A29" s="13" t="s">
        <v>464</v>
      </c>
      <c r="B29" s="18" t="s">
        <v>465</v>
      </c>
      <c r="C29" s="13" t="s">
        <v>466</v>
      </c>
      <c r="D29" s="13">
        <v>30</v>
      </c>
      <c r="E29" s="13">
        <v>30</v>
      </c>
      <c r="F29" s="13">
        <v>30</v>
      </c>
      <c r="G29" s="13">
        <v>30</v>
      </c>
      <c r="H29" s="13">
        <v>30</v>
      </c>
      <c r="I29" s="13">
        <v>30</v>
      </c>
      <c r="J29" s="13">
        <v>30</v>
      </c>
      <c r="K29" s="13">
        <v>30</v>
      </c>
    </row>
    <row r="30" spans="1:11">
      <c r="A30" s="13" t="s">
        <v>467</v>
      </c>
      <c r="B30" s="18" t="s">
        <v>468</v>
      </c>
      <c r="C30" s="13" t="s">
        <v>469</v>
      </c>
      <c r="D30" s="13">
        <v>2</v>
      </c>
      <c r="E30" s="13">
        <v>8</v>
      </c>
      <c r="F30" s="13">
        <v>9</v>
      </c>
      <c r="G30" s="13">
        <v>6</v>
      </c>
      <c r="H30" s="13">
        <v>8</v>
      </c>
      <c r="I30" s="13">
        <v>0</v>
      </c>
      <c r="J30" s="13">
        <v>0</v>
      </c>
      <c r="K30" s="13">
        <v>0</v>
      </c>
    </row>
    <row r="31" ht="37.5" spans="1:11">
      <c r="A31" s="13" t="s">
        <v>470</v>
      </c>
      <c r="B31" s="18" t="s">
        <v>471</v>
      </c>
      <c r="C31" s="13" t="s">
        <v>472</v>
      </c>
      <c r="D31" s="13">
        <v>6</v>
      </c>
      <c r="E31" s="13">
        <v>8</v>
      </c>
      <c r="F31" s="13">
        <v>8</v>
      </c>
      <c r="G31" s="20">
        <v>9</v>
      </c>
      <c r="H31" s="13">
        <v>5</v>
      </c>
      <c r="I31" s="13">
        <v>1</v>
      </c>
      <c r="J31" s="13">
        <v>0</v>
      </c>
      <c r="K31" s="13">
        <v>0</v>
      </c>
    </row>
    <row r="32" spans="1:11">
      <c r="A32" s="13" t="s">
        <v>473</v>
      </c>
      <c r="B32" s="18" t="s">
        <v>474</v>
      </c>
      <c r="C32" s="13" t="s">
        <v>469</v>
      </c>
      <c r="D32" s="13">
        <v>3</v>
      </c>
      <c r="E32" s="13">
        <v>3</v>
      </c>
      <c r="F32" s="13">
        <v>3</v>
      </c>
      <c r="G32" s="13">
        <v>3</v>
      </c>
      <c r="H32" s="13">
        <v>0</v>
      </c>
      <c r="I32" s="13">
        <v>0</v>
      </c>
      <c r="J32" s="13">
        <v>0</v>
      </c>
      <c r="K32" s="13">
        <v>0</v>
      </c>
    </row>
    <row r="33" spans="1:11">
      <c r="A33" s="13"/>
      <c r="B33" s="18"/>
      <c r="C33" s="13"/>
      <c r="D33" s="13"/>
      <c r="E33" s="13"/>
      <c r="F33" s="13"/>
      <c r="G33" s="13"/>
      <c r="H33" s="13"/>
      <c r="I33" s="13"/>
      <c r="J33" s="13"/>
      <c r="K33" s="13"/>
    </row>
    <row r="34" ht="56.25" spans="1:11">
      <c r="A34" s="13" t="s">
        <v>475</v>
      </c>
      <c r="B34" s="18" t="s">
        <v>476</v>
      </c>
      <c r="C34" s="13" t="s">
        <v>477</v>
      </c>
      <c r="D34" s="13">
        <v>100</v>
      </c>
      <c r="E34" s="13">
        <v>100</v>
      </c>
      <c r="F34" s="13">
        <v>100</v>
      </c>
      <c r="G34" s="13">
        <v>100</v>
      </c>
      <c r="H34" s="13">
        <v>100</v>
      </c>
      <c r="I34" s="13">
        <v>100</v>
      </c>
      <c r="J34" s="13">
        <v>100</v>
      </c>
      <c r="K34" s="13">
        <v>100</v>
      </c>
    </row>
    <row r="35" ht="37.5" spans="1:11">
      <c r="A35" s="13" t="s">
        <v>478</v>
      </c>
      <c r="B35" s="18" t="s">
        <v>479</v>
      </c>
      <c r="C35" s="13" t="s">
        <v>469</v>
      </c>
      <c r="D35" s="13">
        <v>0</v>
      </c>
      <c r="E35" s="13">
        <v>0</v>
      </c>
      <c r="F35" s="13">
        <v>0</v>
      </c>
      <c r="G35" s="13">
        <v>0</v>
      </c>
      <c r="H35" s="13">
        <v>2</v>
      </c>
      <c r="I35" s="13">
        <v>0</v>
      </c>
      <c r="J35" s="13">
        <v>0</v>
      </c>
      <c r="K35" s="13">
        <v>0</v>
      </c>
    </row>
    <row r="36" ht="37.5" spans="1:11">
      <c r="A36" s="13" t="s">
        <v>480</v>
      </c>
      <c r="B36" s="18" t="s">
        <v>481</v>
      </c>
      <c r="C36" s="13" t="s">
        <v>472</v>
      </c>
      <c r="D36" s="13">
        <v>2</v>
      </c>
      <c r="E36" s="13">
        <v>0</v>
      </c>
      <c r="F36" s="13">
        <v>29</v>
      </c>
      <c r="G36" s="13">
        <v>0</v>
      </c>
      <c r="H36" s="13">
        <v>12</v>
      </c>
      <c r="I36" s="13">
        <v>13</v>
      </c>
      <c r="J36" s="13">
        <v>0</v>
      </c>
      <c r="K36" s="13">
        <v>0</v>
      </c>
    </row>
    <row r="37" spans="1:11">
      <c r="A37" s="13" t="s">
        <v>482</v>
      </c>
      <c r="B37" s="18" t="s">
        <v>483</v>
      </c>
      <c r="C37" s="13" t="s">
        <v>477</v>
      </c>
      <c r="D37" s="13">
        <v>100</v>
      </c>
      <c r="E37" s="13">
        <v>100</v>
      </c>
      <c r="F37" s="13">
        <v>100</v>
      </c>
      <c r="G37" s="13">
        <v>100</v>
      </c>
      <c r="H37" s="13">
        <v>100</v>
      </c>
      <c r="I37" s="13">
        <v>100</v>
      </c>
      <c r="J37" s="13">
        <v>100</v>
      </c>
      <c r="K37" s="13">
        <v>100</v>
      </c>
    </row>
    <row r="38" ht="75" spans="1:11">
      <c r="A38" s="13" t="s">
        <v>484</v>
      </c>
      <c r="B38" s="18" t="s">
        <v>485</v>
      </c>
      <c r="C38" s="13" t="s">
        <v>472</v>
      </c>
      <c r="D38" s="13">
        <v>1</v>
      </c>
      <c r="E38" s="13">
        <v>1</v>
      </c>
      <c r="F38" s="13">
        <v>0</v>
      </c>
      <c r="G38" s="13">
        <v>0</v>
      </c>
      <c r="H38" s="13">
        <v>0</v>
      </c>
      <c r="I38" s="13">
        <v>0</v>
      </c>
      <c r="J38" s="13">
        <v>0</v>
      </c>
      <c r="K38" s="13">
        <v>0</v>
      </c>
    </row>
    <row r="39" spans="1:11">
      <c r="A39" s="13" t="s">
        <v>486</v>
      </c>
      <c r="B39" s="18" t="s">
        <v>487</v>
      </c>
      <c r="C39" s="13" t="s">
        <v>469</v>
      </c>
      <c r="D39" s="13">
        <v>0</v>
      </c>
      <c r="E39" s="13">
        <v>22</v>
      </c>
      <c r="F39" s="13">
        <v>22</v>
      </c>
      <c r="G39" s="13">
        <v>22</v>
      </c>
      <c r="H39" s="13">
        <v>22</v>
      </c>
      <c r="I39" s="13">
        <v>22</v>
      </c>
      <c r="J39" s="13">
        <v>22</v>
      </c>
      <c r="K39" s="13">
        <v>22</v>
      </c>
    </row>
    <row r="40" ht="56.25" spans="1:11">
      <c r="A40" s="13" t="s">
        <v>488</v>
      </c>
      <c r="B40" s="18" t="s">
        <v>489</v>
      </c>
      <c r="C40" s="13" t="s">
        <v>469</v>
      </c>
      <c r="D40" s="13">
        <v>0</v>
      </c>
      <c r="E40" s="13">
        <v>6</v>
      </c>
      <c r="F40" s="13">
        <v>3</v>
      </c>
      <c r="G40" s="20">
        <v>16</v>
      </c>
      <c r="H40" s="13">
        <v>4</v>
      </c>
      <c r="I40" s="13">
        <v>3</v>
      </c>
      <c r="J40" s="13">
        <v>0</v>
      </c>
      <c r="K40" s="13">
        <v>0</v>
      </c>
    </row>
    <row r="41" ht="56.25" spans="1:11">
      <c r="A41" s="13" t="s">
        <v>490</v>
      </c>
      <c r="B41" s="18" t="s">
        <v>491</v>
      </c>
      <c r="C41" s="13" t="s">
        <v>469</v>
      </c>
      <c r="D41" s="13">
        <v>0</v>
      </c>
      <c r="E41" s="13">
        <v>15</v>
      </c>
      <c r="F41" s="13">
        <v>13</v>
      </c>
      <c r="G41" s="13">
        <v>11</v>
      </c>
      <c r="H41" s="13">
        <v>10</v>
      </c>
      <c r="I41" s="13">
        <v>15</v>
      </c>
      <c r="J41" s="13">
        <v>0</v>
      </c>
      <c r="K41" s="13">
        <v>0</v>
      </c>
    </row>
    <row r="42" ht="37.5" spans="1:11">
      <c r="A42" s="13" t="s">
        <v>492</v>
      </c>
      <c r="B42" s="21" t="s">
        <v>493</v>
      </c>
      <c r="C42" s="13" t="s">
        <v>472</v>
      </c>
      <c r="D42" s="13">
        <v>0</v>
      </c>
      <c r="E42" s="13">
        <v>3</v>
      </c>
      <c r="F42" s="13">
        <v>2</v>
      </c>
      <c r="G42" s="13">
        <v>0</v>
      </c>
      <c r="H42" s="13">
        <v>0</v>
      </c>
      <c r="I42" s="13">
        <v>0</v>
      </c>
      <c r="J42" s="13">
        <v>0</v>
      </c>
      <c r="K42" s="13">
        <v>0</v>
      </c>
    </row>
    <row r="43" ht="37.5" spans="1:11">
      <c r="A43" s="13" t="s">
        <v>494</v>
      </c>
      <c r="B43" s="21" t="s">
        <v>495</v>
      </c>
      <c r="C43" s="13" t="s">
        <v>472</v>
      </c>
      <c r="D43" s="13">
        <v>0</v>
      </c>
      <c r="E43" s="13">
        <v>0</v>
      </c>
      <c r="F43" s="13">
        <v>0</v>
      </c>
      <c r="G43" s="13">
        <v>0</v>
      </c>
      <c r="H43" s="13">
        <v>0</v>
      </c>
      <c r="I43" s="13">
        <v>7</v>
      </c>
      <c r="J43" s="13">
        <v>0</v>
      </c>
      <c r="K43" s="13">
        <v>0</v>
      </c>
    </row>
    <row r="44" spans="1:1">
      <c r="A44" s="4"/>
    </row>
    <row r="45" spans="1:1">
      <c r="A45" s="4"/>
    </row>
    <row r="46" spans="1:1">
      <c r="A46" s="4"/>
    </row>
    <row r="47" spans="1:1">
      <c r="A47" s="4"/>
    </row>
    <row r="48" s="2" customFormat="1" spans="2:8">
      <c r="B48" s="2" t="s">
        <v>496</v>
      </c>
      <c r="H48" s="2" t="s">
        <v>422</v>
      </c>
    </row>
  </sheetData>
  <mergeCells count="39">
    <mergeCell ref="F1:K1"/>
    <mergeCell ref="D6:J6"/>
    <mergeCell ref="A6:A8"/>
    <mergeCell ref="A14:A15"/>
    <mergeCell ref="A16:A17"/>
    <mergeCell ref="A32:A33"/>
    <mergeCell ref="B6:B8"/>
    <mergeCell ref="B14:B15"/>
    <mergeCell ref="B16:B17"/>
    <mergeCell ref="B32:B33"/>
    <mergeCell ref="C6:C8"/>
    <mergeCell ref="C14:C15"/>
    <mergeCell ref="C16:C17"/>
    <mergeCell ref="C32:C33"/>
    <mergeCell ref="D14:D15"/>
    <mergeCell ref="D16:D17"/>
    <mergeCell ref="D32:D33"/>
    <mergeCell ref="E14:E15"/>
    <mergeCell ref="E16:E17"/>
    <mergeCell ref="E32:E33"/>
    <mergeCell ref="F14:F15"/>
    <mergeCell ref="F16:F17"/>
    <mergeCell ref="F32:F33"/>
    <mergeCell ref="G14:G15"/>
    <mergeCell ref="G16:G17"/>
    <mergeCell ref="G32:G33"/>
    <mergeCell ref="H14:H15"/>
    <mergeCell ref="H16:H17"/>
    <mergeCell ref="H32:H33"/>
    <mergeCell ref="I14:I15"/>
    <mergeCell ref="I16:I17"/>
    <mergeCell ref="I32:I33"/>
    <mergeCell ref="J14:J15"/>
    <mergeCell ref="J16:J17"/>
    <mergeCell ref="J32:J33"/>
    <mergeCell ref="K14:K15"/>
    <mergeCell ref="K16:K17"/>
    <mergeCell ref="K32:K33"/>
    <mergeCell ref="B3:K4"/>
  </mergeCells>
  <pageMargins left="1.18110236220472" right="0.393700787401575" top="0.78740157480315" bottom="0.78740157480315" header="0.31496062992126" footer="0.31496062992126"/>
  <pageSetup paperSize="9" scale="6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Лист1 </vt:lpstr>
      <vt:lpstr>Лист2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user97</cp:lastModifiedBy>
  <dcterms:created xsi:type="dcterms:W3CDTF">2015-06-05T18:19:00Z</dcterms:created>
  <dcterms:modified xsi:type="dcterms:W3CDTF">2026-03-05T06:14:05Z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65967A13DC474734A5A871BC142D9F98_12</vt:lpwstr>
  </property>
  <property fmtid="{D5CDD505-2E9C-101B-9397-08002B2CF9AE}" pid="3" name="KSOProductBuildVer">
    <vt:lpwstr>1049-12.2.0.23196</vt:lpwstr>
  </property>
</Properties>
</file>